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14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drawings/drawing15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drawings/drawing16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Data &amp; Dashboard\2022\4. 2022-23 Quarter 2 - July - Sept 2022\"/>
    </mc:Choice>
  </mc:AlternateContent>
  <xr:revisionPtr revIDLastSave="0" documentId="13_ncr:1_{93BB7E02-AC65-4688-BB12-3A4D39CBCDA8}" xr6:coauthVersionLast="47" xr6:coauthVersionMax="47" xr10:uidLastSave="{00000000-0000-0000-0000-000000000000}"/>
  <bookViews>
    <workbookView xWindow="-28920" yWindow="-120" windowWidth="29040" windowHeight="15840" tabRatio="729" xr2:uid="{00000000-000D-0000-FFFF-FFFF00000000}"/>
  </bookViews>
  <sheets>
    <sheet name="Front Page" sheetId="5" r:id="rId1"/>
    <sheet name="RAG Ratings" sheetId="15" r:id="rId2"/>
    <sheet name="Q1 ADULTS" sheetId="37" r:id="rId3"/>
    <sheet name="Q1 PAEDS" sheetId="38" r:id="rId4"/>
    <sheet name="Q1 Graphs" sheetId="43" r:id="rId5"/>
    <sheet name="Q2 ADULTS" sheetId="46" r:id="rId6"/>
    <sheet name="Q2 PAEDS" sheetId="47" r:id="rId7"/>
    <sheet name="Q2 Graphs" sheetId="55" r:id="rId8"/>
    <sheet name="Q3 ADULTS" sheetId="51" state="hidden" r:id="rId9"/>
    <sheet name="Q3 PAEDS" sheetId="53" state="hidden" r:id="rId10"/>
    <sheet name="Q3 Graphs" sheetId="56" state="hidden" r:id="rId11"/>
    <sheet name="Q4 ADULTS" sheetId="52" state="hidden" r:id="rId12"/>
    <sheet name="Q4 PAEDS" sheetId="54" state="hidden" r:id="rId13"/>
    <sheet name="Q4 Graphs" sheetId="57" state="hidden" r:id="rId14"/>
    <sheet name="Y2D Adult OP" sheetId="2" r:id="rId15"/>
    <sheet name="Y2D Paeds OP" sheetId="6" r:id="rId16"/>
    <sheet name="Data" sheetId="4" state="hidden" r:id="rId17"/>
    <sheet name="Graph data Q1" sheetId="44" state="hidden" r:id="rId18"/>
    <sheet name="Graph data Q2" sheetId="48" state="hidden" r:id="rId19"/>
    <sheet name="Graph data Q3" sheetId="49" state="hidden" r:id="rId20"/>
    <sheet name="Graph data Q4" sheetId="50" state="hidden" r:id="rId21"/>
    <sheet name="Graph data Y2D" sheetId="30" state="hidden" r:id="rId22"/>
    <sheet name="Control" sheetId="3" state="hidden" r:id="rId23"/>
  </sheets>
  <definedNames>
    <definedName name="_xlnm._FilterDatabase" localSheetId="18" hidden="1">'Graph data Q2'!$A$13:$E$27</definedName>
    <definedName name="_xlnm._FilterDatabase" localSheetId="2" hidden="1">'Q1 ADULTS'!$B$5:$AA$24</definedName>
    <definedName name="_xlnm._FilterDatabase" localSheetId="3" hidden="1">'Q1 PAEDS'!$B$5:$AA$25</definedName>
    <definedName name="_xlnm._FilterDatabase" localSheetId="5" hidden="1">'Q2 ADULTS'!$B$5:$AA$24</definedName>
    <definedName name="_xlnm._FilterDatabase" localSheetId="6" hidden="1">'Q2 PAEDS'!$B$5:$AA$25</definedName>
    <definedName name="_xlnm._FilterDatabase" localSheetId="8" hidden="1">'Q3 ADULTS'!$B$5:$AA$24</definedName>
    <definedName name="_xlnm._FilterDatabase" localSheetId="9" hidden="1">'Q3 PAEDS'!$B$5:$AA$25</definedName>
    <definedName name="_xlnm._FilterDatabase" localSheetId="11" hidden="1">'Q4 ADULTS'!$B$5:$AA$24</definedName>
    <definedName name="_xlnm._FilterDatabase" localSheetId="12" hidden="1">'Q4 PAEDS'!$B$5:$AA$25</definedName>
    <definedName name="AdultChoice">Control!$C$19</definedName>
    <definedName name="AdultSites">Control!$A$1:$C$18</definedName>
    <definedName name="PaedChoice">Control!$C$41</definedName>
    <definedName name="PaedSites">Control!$A$22:$B$40</definedName>
    <definedName name="Q1_Adult">Data!$A$3:$V$23</definedName>
    <definedName name="Q1_Paeds">Data!$A$27:$V$48</definedName>
    <definedName name="Q2_Adult">Data!$A$53:$V$73</definedName>
    <definedName name="Q2_Paeds">Data!$A$77:$V$98</definedName>
    <definedName name="Q3_Adult">Data!$A$103:$V$123</definedName>
    <definedName name="Q3_Paeds">Data!$A$127:$V$148</definedName>
    <definedName name="Q4_Adult">Data!$A$153:$V$173</definedName>
    <definedName name="Q4_Paeds">Data!$A$177:$V$198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8" i="37" l="1"/>
  <c r="Z8" i="37"/>
  <c r="Y8" i="37"/>
  <c r="W8" i="37"/>
  <c r="U8" i="37"/>
  <c r="S8" i="37"/>
  <c r="Q8" i="37"/>
  <c r="P8" i="37"/>
  <c r="N8" i="37"/>
  <c r="L8" i="37"/>
  <c r="J8" i="37"/>
  <c r="H8" i="37"/>
  <c r="G8" i="37"/>
  <c r="F8" i="37"/>
  <c r="B8" i="37"/>
  <c r="AA8" i="46"/>
  <c r="Z8" i="46"/>
  <c r="Y8" i="46"/>
  <c r="W8" i="46"/>
  <c r="U8" i="46"/>
  <c r="S8" i="46"/>
  <c r="Q8" i="46"/>
  <c r="P8" i="46"/>
  <c r="N8" i="46"/>
  <c r="L8" i="46"/>
  <c r="J8" i="46"/>
  <c r="H8" i="46"/>
  <c r="G8" i="46"/>
  <c r="F8" i="46"/>
  <c r="B8" i="46"/>
  <c r="AA8" i="51"/>
  <c r="Z8" i="51"/>
  <c r="Y8" i="51"/>
  <c r="W8" i="51"/>
  <c r="U8" i="51"/>
  <c r="S8" i="51"/>
  <c r="Q8" i="51"/>
  <c r="P8" i="51"/>
  <c r="N8" i="51"/>
  <c r="L8" i="51"/>
  <c r="J8" i="51"/>
  <c r="H8" i="51"/>
  <c r="G8" i="51"/>
  <c r="F8" i="51"/>
  <c r="B8" i="51"/>
  <c r="AA8" i="52"/>
  <c r="Z8" i="52"/>
  <c r="Y8" i="52"/>
  <c r="W8" i="52"/>
  <c r="U8" i="52"/>
  <c r="S8" i="52"/>
  <c r="Q8" i="52"/>
  <c r="P8" i="52"/>
  <c r="N8" i="52"/>
  <c r="L8" i="52"/>
  <c r="J8" i="52"/>
  <c r="H8" i="52"/>
  <c r="G8" i="52"/>
  <c r="F8" i="52"/>
  <c r="B8" i="52"/>
  <c r="AA18" i="52"/>
  <c r="Z18" i="52"/>
  <c r="Y18" i="52"/>
  <c r="W18" i="52"/>
  <c r="U18" i="52"/>
  <c r="S18" i="52"/>
  <c r="Q18" i="52"/>
  <c r="P18" i="52"/>
  <c r="N18" i="52"/>
  <c r="L18" i="52"/>
  <c r="J18" i="52"/>
  <c r="H18" i="52"/>
  <c r="G18" i="52"/>
  <c r="F18" i="52"/>
  <c r="B18" i="52"/>
  <c r="AA18" i="51"/>
  <c r="Z18" i="51"/>
  <c r="Y18" i="51"/>
  <c r="W18" i="51"/>
  <c r="U18" i="51"/>
  <c r="S18" i="51"/>
  <c r="Q18" i="51"/>
  <c r="P18" i="51"/>
  <c r="N18" i="51"/>
  <c r="L18" i="51"/>
  <c r="J18" i="51"/>
  <c r="H18" i="51"/>
  <c r="G18" i="51"/>
  <c r="F18" i="51"/>
  <c r="B18" i="51"/>
  <c r="AA18" i="46"/>
  <c r="Z18" i="46"/>
  <c r="Y18" i="46"/>
  <c r="W18" i="46"/>
  <c r="U18" i="46"/>
  <c r="S18" i="46"/>
  <c r="Q18" i="46"/>
  <c r="P18" i="46"/>
  <c r="N18" i="46"/>
  <c r="L18" i="46"/>
  <c r="J18" i="46"/>
  <c r="H18" i="46"/>
  <c r="G18" i="46"/>
  <c r="F18" i="46"/>
  <c r="B18" i="46"/>
  <c r="AA18" i="37"/>
  <c r="Z18" i="37"/>
  <c r="Y18" i="37"/>
  <c r="W18" i="37"/>
  <c r="U18" i="37"/>
  <c r="S18" i="37"/>
  <c r="Q18" i="37"/>
  <c r="P18" i="37"/>
  <c r="N18" i="37"/>
  <c r="L18" i="37"/>
  <c r="J18" i="37"/>
  <c r="H18" i="37"/>
  <c r="G18" i="37"/>
  <c r="F18" i="37"/>
  <c r="B18" i="37"/>
  <c r="B24" i="52"/>
  <c r="B23" i="52"/>
  <c r="B22" i="52"/>
  <c r="B21" i="52"/>
  <c r="B20" i="52"/>
  <c r="B19" i="52"/>
  <c r="B17" i="52"/>
  <c r="B16" i="52"/>
  <c r="B15" i="52"/>
  <c r="B14" i="52"/>
  <c r="B13" i="52"/>
  <c r="B12" i="52"/>
  <c r="B11" i="52"/>
  <c r="B10" i="52"/>
  <c r="B9" i="52"/>
  <c r="B24" i="51"/>
  <c r="B23" i="51"/>
  <c r="B22" i="51"/>
  <c r="B21" i="51"/>
  <c r="B20" i="51"/>
  <c r="B19" i="51"/>
  <c r="B17" i="51"/>
  <c r="B16" i="51"/>
  <c r="B15" i="51"/>
  <c r="B14" i="51"/>
  <c r="B13" i="51"/>
  <c r="B12" i="51"/>
  <c r="B11" i="51"/>
  <c r="B10" i="51"/>
  <c r="B9" i="51"/>
  <c r="B24" i="46"/>
  <c r="B23" i="46"/>
  <c r="B22" i="46"/>
  <c r="B21" i="46"/>
  <c r="B20" i="46"/>
  <c r="B19" i="46"/>
  <c r="B17" i="46"/>
  <c r="B16" i="46"/>
  <c r="B15" i="46"/>
  <c r="B14" i="46"/>
  <c r="B13" i="46"/>
  <c r="B12" i="46"/>
  <c r="B11" i="46"/>
  <c r="B10" i="46"/>
  <c r="B9" i="46"/>
  <c r="B24" i="37"/>
  <c r="B23" i="37"/>
  <c r="B22" i="37"/>
  <c r="B21" i="37"/>
  <c r="B20" i="37"/>
  <c r="B19" i="37"/>
  <c r="B17" i="37"/>
  <c r="B16" i="37"/>
  <c r="B15" i="37"/>
  <c r="B14" i="37"/>
  <c r="B13" i="37"/>
  <c r="B12" i="37"/>
  <c r="B11" i="37"/>
  <c r="B10" i="37"/>
  <c r="B9" i="37"/>
  <c r="J24" i="44"/>
  <c r="K24" i="44"/>
  <c r="B198" i="4"/>
  <c r="B197" i="4"/>
  <c r="B196" i="4"/>
  <c r="B195" i="4"/>
  <c r="B194" i="4"/>
  <c r="B193" i="4"/>
  <c r="B192" i="4"/>
  <c r="B191" i="4"/>
  <c r="B190" i="4"/>
  <c r="B189" i="4"/>
  <c r="B188" i="4"/>
  <c r="B187" i="4"/>
  <c r="B186" i="4"/>
  <c r="B185" i="4"/>
  <c r="B184" i="4"/>
  <c r="B183" i="4"/>
  <c r="B182" i="4"/>
  <c r="B181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17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8" i="4"/>
  <c r="B157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C41" i="3"/>
  <c r="C19" i="3"/>
  <c r="L24" i="44" l="1"/>
  <c r="AA25" i="53"/>
  <c r="Z25" i="53"/>
  <c r="Y25" i="53"/>
  <c r="W25" i="53"/>
  <c r="X25" i="53" s="1"/>
  <c r="U25" i="53"/>
  <c r="S25" i="53"/>
  <c r="Q25" i="53"/>
  <c r="P25" i="53"/>
  <c r="N25" i="53"/>
  <c r="L25" i="53"/>
  <c r="J25" i="53"/>
  <c r="H25" i="53"/>
  <c r="G25" i="53"/>
  <c r="F25" i="53"/>
  <c r="AA24" i="53"/>
  <c r="Z24" i="53"/>
  <c r="Y24" i="53"/>
  <c r="W24" i="53"/>
  <c r="U24" i="53"/>
  <c r="S24" i="53"/>
  <c r="T24" i="53" s="1"/>
  <c r="Q24" i="53"/>
  <c r="P24" i="53"/>
  <c r="N24" i="53"/>
  <c r="L24" i="53"/>
  <c r="M24" i="53" s="1"/>
  <c r="J24" i="53"/>
  <c r="H24" i="53"/>
  <c r="I24" i="53" s="1"/>
  <c r="G24" i="53"/>
  <c r="F24" i="53"/>
  <c r="AA23" i="53"/>
  <c r="Z23" i="53"/>
  <c r="Y23" i="53"/>
  <c r="W23" i="53"/>
  <c r="X23" i="53" s="1"/>
  <c r="U23" i="53"/>
  <c r="S23" i="53"/>
  <c r="Q23" i="53"/>
  <c r="R23" i="53" s="1"/>
  <c r="P23" i="53"/>
  <c r="M23" i="53" s="1"/>
  <c r="N23" i="53"/>
  <c r="L23" i="53"/>
  <c r="J23" i="53"/>
  <c r="H23" i="53"/>
  <c r="I23" i="53" s="1"/>
  <c r="G23" i="53"/>
  <c r="F23" i="53"/>
  <c r="AA22" i="53"/>
  <c r="Z22" i="53"/>
  <c r="Y22" i="53"/>
  <c r="W22" i="53"/>
  <c r="U22" i="53"/>
  <c r="S22" i="53"/>
  <c r="T22" i="53" s="1"/>
  <c r="Q22" i="53"/>
  <c r="P22" i="53"/>
  <c r="N22" i="53"/>
  <c r="L22" i="53"/>
  <c r="J22" i="53"/>
  <c r="H22" i="53"/>
  <c r="G22" i="53"/>
  <c r="F22" i="53"/>
  <c r="AA21" i="53"/>
  <c r="Z21" i="53"/>
  <c r="Y21" i="53"/>
  <c r="W21" i="53"/>
  <c r="X21" i="53" s="1"/>
  <c r="U21" i="53"/>
  <c r="S21" i="53"/>
  <c r="Q21" i="53"/>
  <c r="P21" i="53"/>
  <c r="O21" i="53" s="1"/>
  <c r="N21" i="53"/>
  <c r="L21" i="53"/>
  <c r="J21" i="53"/>
  <c r="H21" i="53"/>
  <c r="I21" i="53" s="1"/>
  <c r="G21" i="53"/>
  <c r="F21" i="53"/>
  <c r="AA20" i="53"/>
  <c r="Z20" i="53"/>
  <c r="Y20" i="53"/>
  <c r="W20" i="53"/>
  <c r="U20" i="53"/>
  <c r="S20" i="53"/>
  <c r="Q20" i="53"/>
  <c r="P20" i="53"/>
  <c r="N20" i="53"/>
  <c r="L20" i="53"/>
  <c r="J20" i="53"/>
  <c r="H20" i="53"/>
  <c r="I20" i="53" s="1"/>
  <c r="G20" i="53"/>
  <c r="F20" i="53"/>
  <c r="AA19" i="53"/>
  <c r="Z19" i="53"/>
  <c r="Y19" i="53"/>
  <c r="W19" i="53"/>
  <c r="X19" i="53" s="1"/>
  <c r="U19" i="53"/>
  <c r="S19" i="53"/>
  <c r="Q19" i="53"/>
  <c r="R19" i="53" s="1"/>
  <c r="P19" i="53"/>
  <c r="O19" i="53" s="1"/>
  <c r="N19" i="53"/>
  <c r="L19" i="53"/>
  <c r="J19" i="53"/>
  <c r="H19" i="53"/>
  <c r="I19" i="53" s="1"/>
  <c r="G19" i="53"/>
  <c r="F19" i="53"/>
  <c r="AA18" i="53"/>
  <c r="Z18" i="53"/>
  <c r="Y18" i="53"/>
  <c r="W18" i="53"/>
  <c r="U18" i="53"/>
  <c r="S18" i="53"/>
  <c r="Q18" i="53"/>
  <c r="P18" i="53"/>
  <c r="N18" i="53"/>
  <c r="L18" i="53"/>
  <c r="J18" i="53"/>
  <c r="H18" i="53"/>
  <c r="G18" i="53"/>
  <c r="F18" i="53"/>
  <c r="AA17" i="53"/>
  <c r="Z17" i="53"/>
  <c r="Y17" i="53"/>
  <c r="V17" i="53" s="1"/>
  <c r="W17" i="53"/>
  <c r="U17" i="53"/>
  <c r="S17" i="53"/>
  <c r="Q17" i="53"/>
  <c r="R17" i="53" s="1"/>
  <c r="P17" i="53"/>
  <c r="K17" i="53" s="1"/>
  <c r="N17" i="53"/>
  <c r="L17" i="53"/>
  <c r="J17" i="53"/>
  <c r="H17" i="53"/>
  <c r="I17" i="53" s="1"/>
  <c r="G17" i="53"/>
  <c r="F17" i="53"/>
  <c r="AA16" i="53"/>
  <c r="Z16" i="53"/>
  <c r="Y16" i="53"/>
  <c r="W16" i="53"/>
  <c r="U16" i="53"/>
  <c r="S16" i="53"/>
  <c r="Q16" i="53"/>
  <c r="P16" i="53"/>
  <c r="N16" i="53"/>
  <c r="L16" i="53"/>
  <c r="J16" i="53"/>
  <c r="H16" i="53"/>
  <c r="I16" i="53" s="1"/>
  <c r="G16" i="53"/>
  <c r="F16" i="53"/>
  <c r="AA15" i="53"/>
  <c r="Z15" i="53"/>
  <c r="Y15" i="53"/>
  <c r="W15" i="53"/>
  <c r="X15" i="53" s="1"/>
  <c r="U15" i="53"/>
  <c r="S15" i="53"/>
  <c r="Q15" i="53"/>
  <c r="R15" i="53" s="1"/>
  <c r="P15" i="53"/>
  <c r="N15" i="53"/>
  <c r="L15" i="53"/>
  <c r="J15" i="53"/>
  <c r="H15" i="53"/>
  <c r="G15" i="53"/>
  <c r="F15" i="53"/>
  <c r="AA14" i="53"/>
  <c r="Z14" i="53"/>
  <c r="Y14" i="53"/>
  <c r="W14" i="53"/>
  <c r="U14" i="53"/>
  <c r="S14" i="53"/>
  <c r="T14" i="53" s="1"/>
  <c r="Q14" i="53"/>
  <c r="P14" i="53"/>
  <c r="N14" i="53"/>
  <c r="L14" i="53"/>
  <c r="M14" i="53" s="1"/>
  <c r="J14" i="53"/>
  <c r="H14" i="53"/>
  <c r="G14" i="53"/>
  <c r="F14" i="53"/>
  <c r="AA13" i="53"/>
  <c r="Z13" i="53"/>
  <c r="Y13" i="53"/>
  <c r="W13" i="53"/>
  <c r="U13" i="53"/>
  <c r="S13" i="53"/>
  <c r="Q13" i="53"/>
  <c r="R13" i="53" s="1"/>
  <c r="P13" i="53"/>
  <c r="K13" i="53" s="1"/>
  <c r="N13" i="53"/>
  <c r="L13" i="53"/>
  <c r="J13" i="53"/>
  <c r="H13" i="53"/>
  <c r="I13" i="53" s="1"/>
  <c r="G13" i="53"/>
  <c r="F13" i="53"/>
  <c r="AA12" i="53"/>
  <c r="Z12" i="53"/>
  <c r="Y12" i="53"/>
  <c r="W12" i="53"/>
  <c r="U12" i="53"/>
  <c r="S12" i="53"/>
  <c r="Q12" i="53"/>
  <c r="P12" i="53"/>
  <c r="N12" i="53"/>
  <c r="L12" i="53"/>
  <c r="J12" i="53"/>
  <c r="H12" i="53"/>
  <c r="I12" i="53" s="1"/>
  <c r="G12" i="53"/>
  <c r="F12" i="53"/>
  <c r="AA11" i="53"/>
  <c r="Z11" i="53"/>
  <c r="Y11" i="53"/>
  <c r="W11" i="53"/>
  <c r="U11" i="53"/>
  <c r="S11" i="53"/>
  <c r="Q11" i="53"/>
  <c r="R11" i="53" s="1"/>
  <c r="P11" i="53"/>
  <c r="N11" i="53"/>
  <c r="L11" i="53"/>
  <c r="J11" i="53"/>
  <c r="H11" i="53"/>
  <c r="G11" i="53"/>
  <c r="F11" i="53"/>
  <c r="AA10" i="53"/>
  <c r="Z10" i="53"/>
  <c r="Y10" i="53"/>
  <c r="W10" i="53"/>
  <c r="U10" i="53"/>
  <c r="S10" i="53"/>
  <c r="T10" i="53" s="1"/>
  <c r="Q10" i="53"/>
  <c r="P10" i="53"/>
  <c r="N10" i="53"/>
  <c r="L10" i="53"/>
  <c r="J10" i="53"/>
  <c r="H10" i="53"/>
  <c r="G10" i="53"/>
  <c r="F10" i="53"/>
  <c r="AA9" i="53"/>
  <c r="Z9" i="53"/>
  <c r="Y9" i="53"/>
  <c r="W9" i="53"/>
  <c r="U9" i="53"/>
  <c r="S9" i="53"/>
  <c r="Q9" i="53"/>
  <c r="P9" i="53"/>
  <c r="O9" i="53" s="1"/>
  <c r="N9" i="53"/>
  <c r="L9" i="53"/>
  <c r="J9" i="53"/>
  <c r="H9" i="53"/>
  <c r="I9" i="53" s="1"/>
  <c r="G9" i="53"/>
  <c r="F9" i="53"/>
  <c r="AA8" i="53"/>
  <c r="Z8" i="53"/>
  <c r="Y8" i="53"/>
  <c r="W8" i="53"/>
  <c r="U8" i="53"/>
  <c r="S8" i="53"/>
  <c r="Q8" i="53"/>
  <c r="P8" i="53"/>
  <c r="N8" i="53"/>
  <c r="L8" i="53"/>
  <c r="M8" i="53" s="1"/>
  <c r="J8" i="53"/>
  <c r="H8" i="53"/>
  <c r="I8" i="53" s="1"/>
  <c r="G8" i="53"/>
  <c r="F8" i="53"/>
  <c r="AA25" i="54"/>
  <c r="Z25" i="54"/>
  <c r="Y25" i="54"/>
  <c r="W25" i="54"/>
  <c r="X25" i="54" s="1"/>
  <c r="U25" i="54"/>
  <c r="S25" i="54"/>
  <c r="Q25" i="54"/>
  <c r="R25" i="54" s="1"/>
  <c r="P25" i="54"/>
  <c r="O25" i="54" s="1"/>
  <c r="N25" i="54"/>
  <c r="L25" i="54"/>
  <c r="J25" i="54"/>
  <c r="H25" i="54"/>
  <c r="I25" i="54" s="1"/>
  <c r="G25" i="54"/>
  <c r="F25" i="54"/>
  <c r="AA24" i="54"/>
  <c r="Z24" i="54"/>
  <c r="Y24" i="54"/>
  <c r="W24" i="54"/>
  <c r="U24" i="54"/>
  <c r="S24" i="54"/>
  <c r="T24" i="54" s="1"/>
  <c r="Q24" i="54"/>
  <c r="P24" i="54"/>
  <c r="N24" i="54"/>
  <c r="L24" i="54"/>
  <c r="J24" i="54"/>
  <c r="H24" i="54"/>
  <c r="G24" i="54"/>
  <c r="F24" i="54"/>
  <c r="AA23" i="54"/>
  <c r="Z23" i="54"/>
  <c r="Y23" i="54"/>
  <c r="V23" i="54" s="1"/>
  <c r="W23" i="54"/>
  <c r="X23" i="54" s="1"/>
  <c r="U23" i="54"/>
  <c r="S23" i="54"/>
  <c r="Q23" i="54"/>
  <c r="R23" i="54" s="1"/>
  <c r="P23" i="54"/>
  <c r="O23" i="54" s="1"/>
  <c r="N23" i="54"/>
  <c r="L23" i="54"/>
  <c r="J23" i="54"/>
  <c r="H23" i="54"/>
  <c r="I23" i="54" s="1"/>
  <c r="G23" i="54"/>
  <c r="F23" i="54"/>
  <c r="AA22" i="54"/>
  <c r="Z22" i="54"/>
  <c r="Y22" i="54"/>
  <c r="W22" i="54"/>
  <c r="U22" i="54"/>
  <c r="S22" i="54"/>
  <c r="T22" i="54" s="1"/>
  <c r="Q22" i="54"/>
  <c r="P22" i="54"/>
  <c r="N22" i="54"/>
  <c r="L22" i="54"/>
  <c r="M22" i="54" s="1"/>
  <c r="J22" i="54"/>
  <c r="H22" i="54"/>
  <c r="I22" i="54" s="1"/>
  <c r="G22" i="54"/>
  <c r="F22" i="54"/>
  <c r="AA21" i="54"/>
  <c r="Z21" i="54"/>
  <c r="Y21" i="54"/>
  <c r="W21" i="54"/>
  <c r="X21" i="54" s="1"/>
  <c r="U21" i="54"/>
  <c r="S21" i="54"/>
  <c r="Q21" i="54"/>
  <c r="R21" i="54" s="1"/>
  <c r="P21" i="54"/>
  <c r="O21" i="54" s="1"/>
  <c r="N21" i="54"/>
  <c r="L21" i="54"/>
  <c r="J21" i="54"/>
  <c r="H21" i="54"/>
  <c r="I21" i="54" s="1"/>
  <c r="G21" i="54"/>
  <c r="F21" i="54"/>
  <c r="AA20" i="54"/>
  <c r="Z20" i="54"/>
  <c r="Y20" i="54"/>
  <c r="W20" i="54"/>
  <c r="U20" i="54"/>
  <c r="S20" i="54"/>
  <c r="T20" i="54" s="1"/>
  <c r="Q20" i="54"/>
  <c r="P20" i="54"/>
  <c r="N20" i="54"/>
  <c r="L20" i="54"/>
  <c r="J20" i="54"/>
  <c r="H20" i="54"/>
  <c r="G20" i="54"/>
  <c r="F20" i="54"/>
  <c r="AA19" i="54"/>
  <c r="Z19" i="54"/>
  <c r="Y19" i="54"/>
  <c r="W19" i="54"/>
  <c r="X19" i="54" s="1"/>
  <c r="U19" i="54"/>
  <c r="S19" i="54"/>
  <c r="Q19" i="54"/>
  <c r="P19" i="54"/>
  <c r="O19" i="54" s="1"/>
  <c r="N19" i="54"/>
  <c r="L19" i="54"/>
  <c r="J19" i="54"/>
  <c r="H19" i="54"/>
  <c r="I19" i="54" s="1"/>
  <c r="G19" i="54"/>
  <c r="F19" i="54"/>
  <c r="AA18" i="54"/>
  <c r="Z18" i="54"/>
  <c r="Y18" i="54"/>
  <c r="W18" i="54"/>
  <c r="U18" i="54"/>
  <c r="S18" i="54"/>
  <c r="T18" i="54" s="1"/>
  <c r="Q18" i="54"/>
  <c r="P18" i="54"/>
  <c r="N18" i="54"/>
  <c r="L18" i="54"/>
  <c r="M18" i="54" s="1"/>
  <c r="J18" i="54"/>
  <c r="H18" i="54"/>
  <c r="I18" i="54" s="1"/>
  <c r="G18" i="54"/>
  <c r="F18" i="54"/>
  <c r="AA17" i="54"/>
  <c r="Z17" i="54"/>
  <c r="Y17" i="54"/>
  <c r="W17" i="54"/>
  <c r="X17" i="54" s="1"/>
  <c r="U17" i="54"/>
  <c r="S17" i="54"/>
  <c r="Q17" i="54"/>
  <c r="R17" i="54" s="1"/>
  <c r="P17" i="54"/>
  <c r="O17" i="54" s="1"/>
  <c r="N17" i="54"/>
  <c r="L17" i="54"/>
  <c r="J17" i="54"/>
  <c r="H17" i="54"/>
  <c r="I17" i="54" s="1"/>
  <c r="G17" i="54"/>
  <c r="F17" i="54"/>
  <c r="AA16" i="54"/>
  <c r="Z16" i="54"/>
  <c r="Y16" i="54"/>
  <c r="W16" i="54"/>
  <c r="U16" i="54"/>
  <c r="S16" i="54"/>
  <c r="T16" i="54" s="1"/>
  <c r="Q16" i="54"/>
  <c r="R16" i="54" s="1"/>
  <c r="P16" i="54"/>
  <c r="N16" i="54"/>
  <c r="L16" i="54"/>
  <c r="J16" i="54"/>
  <c r="H16" i="54"/>
  <c r="G16" i="54"/>
  <c r="F16" i="54"/>
  <c r="AA15" i="54"/>
  <c r="Z15" i="54"/>
  <c r="Y15" i="54"/>
  <c r="W15" i="54"/>
  <c r="U15" i="54"/>
  <c r="S15" i="54"/>
  <c r="Q15" i="54"/>
  <c r="R15" i="54" s="1"/>
  <c r="P15" i="54"/>
  <c r="O15" i="54" s="1"/>
  <c r="N15" i="54"/>
  <c r="L15" i="54"/>
  <c r="J15" i="54"/>
  <c r="H15" i="54"/>
  <c r="I15" i="54" s="1"/>
  <c r="G15" i="54"/>
  <c r="F15" i="54"/>
  <c r="AA14" i="54"/>
  <c r="Z14" i="54"/>
  <c r="Y14" i="54"/>
  <c r="W14" i="54"/>
  <c r="U14" i="54"/>
  <c r="S14" i="54"/>
  <c r="Q14" i="54"/>
  <c r="P14" i="54"/>
  <c r="N14" i="54"/>
  <c r="L14" i="54"/>
  <c r="M14" i="54" s="1"/>
  <c r="J14" i="54"/>
  <c r="H14" i="54"/>
  <c r="I14" i="54" s="1"/>
  <c r="G14" i="54"/>
  <c r="F14" i="54"/>
  <c r="AA13" i="54"/>
  <c r="Z13" i="54"/>
  <c r="Y13" i="54"/>
  <c r="W13" i="54"/>
  <c r="X13" i="54" s="1"/>
  <c r="U13" i="54"/>
  <c r="S13" i="54"/>
  <c r="Q13" i="54"/>
  <c r="R13" i="54" s="1"/>
  <c r="P13" i="54"/>
  <c r="M13" i="54" s="1"/>
  <c r="N13" i="54"/>
  <c r="L13" i="54"/>
  <c r="J13" i="54"/>
  <c r="H13" i="54"/>
  <c r="I13" i="54" s="1"/>
  <c r="G13" i="54"/>
  <c r="F13" i="54"/>
  <c r="AA12" i="54"/>
  <c r="Z12" i="54"/>
  <c r="Y12" i="54"/>
  <c r="W12" i="54"/>
  <c r="U12" i="54"/>
  <c r="S12" i="54"/>
  <c r="Q12" i="54"/>
  <c r="P12" i="54"/>
  <c r="N12" i="54"/>
  <c r="L12" i="54"/>
  <c r="J12" i="54"/>
  <c r="H12" i="54"/>
  <c r="G12" i="54"/>
  <c r="F12" i="54"/>
  <c r="AA11" i="54"/>
  <c r="Z11" i="54"/>
  <c r="Y11" i="54"/>
  <c r="W11" i="54"/>
  <c r="U11" i="54"/>
  <c r="S11" i="54"/>
  <c r="Q11" i="54"/>
  <c r="P11" i="54"/>
  <c r="O11" i="54" s="1"/>
  <c r="N11" i="54"/>
  <c r="L11" i="54"/>
  <c r="J11" i="54"/>
  <c r="H11" i="54"/>
  <c r="I11" i="54" s="1"/>
  <c r="G11" i="54"/>
  <c r="F11" i="54"/>
  <c r="AA10" i="54"/>
  <c r="Z10" i="54"/>
  <c r="Y10" i="54"/>
  <c r="W10" i="54"/>
  <c r="U10" i="54"/>
  <c r="S10" i="54"/>
  <c r="Q10" i="54"/>
  <c r="P10" i="54"/>
  <c r="N10" i="54"/>
  <c r="L10" i="54"/>
  <c r="M10" i="54" s="1"/>
  <c r="J10" i="54"/>
  <c r="H10" i="54"/>
  <c r="I10" i="54" s="1"/>
  <c r="G10" i="54"/>
  <c r="F10" i="54"/>
  <c r="AA9" i="54"/>
  <c r="Z9" i="54"/>
  <c r="Y9" i="54"/>
  <c r="W9" i="54"/>
  <c r="U9" i="54"/>
  <c r="S9" i="54"/>
  <c r="Q9" i="54"/>
  <c r="R9" i="54" s="1"/>
  <c r="P9" i="54"/>
  <c r="K9" i="54" s="1"/>
  <c r="N9" i="54"/>
  <c r="L9" i="54"/>
  <c r="J9" i="54"/>
  <c r="H9" i="54"/>
  <c r="I9" i="54" s="1"/>
  <c r="G9" i="54"/>
  <c r="F9" i="54"/>
  <c r="AA8" i="54"/>
  <c r="Z8" i="54"/>
  <c r="Y8" i="54"/>
  <c r="W8" i="54"/>
  <c r="U8" i="54"/>
  <c r="S8" i="54"/>
  <c r="T8" i="54" s="1"/>
  <c r="Q8" i="54"/>
  <c r="R8" i="54" s="1"/>
  <c r="P8" i="54"/>
  <c r="N8" i="54"/>
  <c r="L8" i="54"/>
  <c r="J8" i="54"/>
  <c r="H8" i="54"/>
  <c r="G8" i="54"/>
  <c r="F8" i="54"/>
  <c r="X24" i="54"/>
  <c r="V24" i="54"/>
  <c r="R24" i="54"/>
  <c r="R22" i="54"/>
  <c r="K22" i="54"/>
  <c r="X20" i="54"/>
  <c r="R20" i="54"/>
  <c r="R19" i="54"/>
  <c r="R18" i="54"/>
  <c r="R14" i="54"/>
  <c r="R12" i="54"/>
  <c r="R25" i="53"/>
  <c r="R24" i="53"/>
  <c r="K24" i="53"/>
  <c r="V23" i="53"/>
  <c r="X22" i="53"/>
  <c r="O20" i="53"/>
  <c r="K20" i="53"/>
  <c r="R18" i="53"/>
  <c r="R14" i="53"/>
  <c r="T11" i="53"/>
  <c r="R10" i="53"/>
  <c r="O8" i="53"/>
  <c r="K8" i="53"/>
  <c r="AA24" i="52"/>
  <c r="Z24" i="52"/>
  <c r="Y24" i="52"/>
  <c r="W24" i="52"/>
  <c r="U24" i="52"/>
  <c r="S24" i="52"/>
  <c r="Q24" i="52"/>
  <c r="R24" i="52" s="1"/>
  <c r="P24" i="52"/>
  <c r="N24" i="52"/>
  <c r="L24" i="52"/>
  <c r="J24" i="52"/>
  <c r="H24" i="52"/>
  <c r="G24" i="52"/>
  <c r="F24" i="52"/>
  <c r="AA23" i="52"/>
  <c r="Z23" i="52"/>
  <c r="Y23" i="52"/>
  <c r="W23" i="52"/>
  <c r="U23" i="52"/>
  <c r="S23" i="52"/>
  <c r="Q23" i="52"/>
  <c r="P23" i="52"/>
  <c r="N23" i="52"/>
  <c r="L23" i="52"/>
  <c r="J23" i="52"/>
  <c r="H23" i="52"/>
  <c r="I23" i="52" s="1"/>
  <c r="G23" i="52"/>
  <c r="F23" i="52"/>
  <c r="AA22" i="52"/>
  <c r="Z22" i="52"/>
  <c r="Y22" i="52"/>
  <c r="W22" i="52"/>
  <c r="U22" i="52"/>
  <c r="S22" i="52"/>
  <c r="Q22" i="52"/>
  <c r="R22" i="52" s="1"/>
  <c r="P22" i="52"/>
  <c r="N22" i="52"/>
  <c r="L22" i="52"/>
  <c r="J22" i="52"/>
  <c r="H22" i="52"/>
  <c r="I22" i="52" s="1"/>
  <c r="G22" i="52"/>
  <c r="F22" i="52"/>
  <c r="AA21" i="52"/>
  <c r="Z21" i="52"/>
  <c r="Y21" i="52"/>
  <c r="W21" i="52"/>
  <c r="U21" i="52"/>
  <c r="S21" i="52"/>
  <c r="Q21" i="52"/>
  <c r="P21" i="52"/>
  <c r="N21" i="52"/>
  <c r="L21" i="52"/>
  <c r="J21" i="52"/>
  <c r="H21" i="52"/>
  <c r="I21" i="52" s="1"/>
  <c r="G21" i="52"/>
  <c r="F21" i="52"/>
  <c r="AA20" i="52"/>
  <c r="Z20" i="52"/>
  <c r="Y20" i="52"/>
  <c r="W20" i="52"/>
  <c r="U20" i="52"/>
  <c r="S20" i="52"/>
  <c r="Q20" i="52"/>
  <c r="R20" i="52" s="1"/>
  <c r="P20" i="52"/>
  <c r="N20" i="52"/>
  <c r="L20" i="52"/>
  <c r="J20" i="52"/>
  <c r="H20" i="52"/>
  <c r="G20" i="52"/>
  <c r="F20" i="52"/>
  <c r="AA19" i="52"/>
  <c r="Z19" i="52"/>
  <c r="Y19" i="52"/>
  <c r="W19" i="52"/>
  <c r="U19" i="52"/>
  <c r="S19" i="52"/>
  <c r="Q19" i="52"/>
  <c r="P19" i="52"/>
  <c r="N19" i="52"/>
  <c r="L19" i="52"/>
  <c r="J19" i="52"/>
  <c r="H19" i="52"/>
  <c r="G19" i="52"/>
  <c r="F19" i="52"/>
  <c r="R18" i="52"/>
  <c r="I18" i="52"/>
  <c r="AA17" i="52"/>
  <c r="Z17" i="52"/>
  <c r="Y17" i="52"/>
  <c r="W17" i="52"/>
  <c r="U17" i="52"/>
  <c r="S17" i="52"/>
  <c r="Q17" i="52"/>
  <c r="P17" i="52"/>
  <c r="N17" i="52"/>
  <c r="L17" i="52"/>
  <c r="J17" i="52"/>
  <c r="H17" i="52"/>
  <c r="G17" i="52"/>
  <c r="F17" i="52"/>
  <c r="AA16" i="52"/>
  <c r="Z16" i="52"/>
  <c r="Y16" i="52"/>
  <c r="W16" i="52"/>
  <c r="U16" i="52"/>
  <c r="S16" i="52"/>
  <c r="Q16" i="52"/>
  <c r="R16" i="52" s="1"/>
  <c r="P16" i="52"/>
  <c r="N16" i="52"/>
  <c r="L16" i="52"/>
  <c r="J16" i="52"/>
  <c r="H16" i="52"/>
  <c r="G16" i="52"/>
  <c r="F16" i="52"/>
  <c r="AA15" i="52"/>
  <c r="Z15" i="52"/>
  <c r="Y15" i="52"/>
  <c r="W15" i="52"/>
  <c r="U15" i="52"/>
  <c r="S15" i="52"/>
  <c r="Q15" i="52"/>
  <c r="P15" i="52"/>
  <c r="N15" i="52"/>
  <c r="L15" i="52"/>
  <c r="J15" i="52"/>
  <c r="H15" i="52"/>
  <c r="G15" i="52"/>
  <c r="F15" i="52"/>
  <c r="AA14" i="52"/>
  <c r="Z14" i="52"/>
  <c r="Y14" i="52"/>
  <c r="W14" i="52"/>
  <c r="U14" i="52"/>
  <c r="S14" i="52"/>
  <c r="Q14" i="52"/>
  <c r="R14" i="52" s="1"/>
  <c r="P14" i="52"/>
  <c r="N14" i="52"/>
  <c r="L14" i="52"/>
  <c r="J14" i="52"/>
  <c r="H14" i="52"/>
  <c r="G14" i="52"/>
  <c r="F14" i="52"/>
  <c r="AA13" i="52"/>
  <c r="Z13" i="52"/>
  <c r="Y13" i="52"/>
  <c r="W13" i="52"/>
  <c r="U13" i="52"/>
  <c r="S13" i="52"/>
  <c r="Q13" i="52"/>
  <c r="P13" i="52"/>
  <c r="N13" i="52"/>
  <c r="L13" i="52"/>
  <c r="J13" i="52"/>
  <c r="H13" i="52"/>
  <c r="G13" i="52"/>
  <c r="F13" i="52"/>
  <c r="AA12" i="52"/>
  <c r="Z12" i="52"/>
  <c r="Y12" i="52"/>
  <c r="W12" i="52"/>
  <c r="U12" i="52"/>
  <c r="S12" i="52"/>
  <c r="Q12" i="52"/>
  <c r="R12" i="52" s="1"/>
  <c r="P12" i="52"/>
  <c r="N12" i="52"/>
  <c r="L12" i="52"/>
  <c r="J12" i="52"/>
  <c r="H12" i="52"/>
  <c r="G12" i="52"/>
  <c r="F12" i="52"/>
  <c r="AA11" i="52"/>
  <c r="Z11" i="52"/>
  <c r="Y11" i="52"/>
  <c r="W11" i="52"/>
  <c r="U11" i="52"/>
  <c r="S11" i="52"/>
  <c r="Q11" i="52"/>
  <c r="P11" i="52"/>
  <c r="N11" i="52"/>
  <c r="L11" i="52"/>
  <c r="J11" i="52"/>
  <c r="H11" i="52"/>
  <c r="G11" i="52"/>
  <c r="F11" i="52"/>
  <c r="AA10" i="52"/>
  <c r="Z10" i="52"/>
  <c r="Y10" i="52"/>
  <c r="W10" i="52"/>
  <c r="U10" i="52"/>
  <c r="S10" i="52"/>
  <c r="Q10" i="52"/>
  <c r="P10" i="52"/>
  <c r="N10" i="52"/>
  <c r="L10" i="52"/>
  <c r="J10" i="52"/>
  <c r="H10" i="52"/>
  <c r="G10" i="52"/>
  <c r="F10" i="52"/>
  <c r="AA9" i="52"/>
  <c r="Z9" i="52"/>
  <c r="Y9" i="52"/>
  <c r="W9" i="52"/>
  <c r="U9" i="52"/>
  <c r="S9" i="52"/>
  <c r="Q9" i="52"/>
  <c r="P9" i="52"/>
  <c r="N9" i="52"/>
  <c r="L9" i="52"/>
  <c r="J9" i="52"/>
  <c r="H9" i="52"/>
  <c r="G9" i="52"/>
  <c r="F9" i="52"/>
  <c r="AA24" i="51"/>
  <c r="Z24" i="51"/>
  <c r="Y24" i="51"/>
  <c r="W24" i="51"/>
  <c r="U24" i="51"/>
  <c r="S24" i="51"/>
  <c r="Q24" i="51"/>
  <c r="P24" i="51"/>
  <c r="N24" i="51"/>
  <c r="L24" i="51"/>
  <c r="J24" i="51"/>
  <c r="H24" i="51"/>
  <c r="G24" i="51"/>
  <c r="F24" i="51"/>
  <c r="AA23" i="51"/>
  <c r="Z23" i="51"/>
  <c r="Y23" i="51"/>
  <c r="W23" i="51"/>
  <c r="U23" i="51"/>
  <c r="S23" i="51"/>
  <c r="Q23" i="51"/>
  <c r="P23" i="51"/>
  <c r="N23" i="51"/>
  <c r="L23" i="51"/>
  <c r="J23" i="51"/>
  <c r="H23" i="51"/>
  <c r="I23" i="51" s="1"/>
  <c r="G23" i="51"/>
  <c r="F23" i="51"/>
  <c r="AA22" i="51"/>
  <c r="Z22" i="51"/>
  <c r="Y22" i="51"/>
  <c r="W22" i="51"/>
  <c r="U22" i="51"/>
  <c r="S22" i="51"/>
  <c r="Q22" i="51"/>
  <c r="P22" i="51"/>
  <c r="N22" i="51"/>
  <c r="L22" i="51"/>
  <c r="J22" i="51"/>
  <c r="H22" i="51"/>
  <c r="G22" i="51"/>
  <c r="F22" i="51"/>
  <c r="AA21" i="51"/>
  <c r="Z21" i="51"/>
  <c r="Y21" i="51"/>
  <c r="W21" i="51"/>
  <c r="U21" i="51"/>
  <c r="S21" i="51"/>
  <c r="Q21" i="51"/>
  <c r="P21" i="51"/>
  <c r="N21" i="51"/>
  <c r="L21" i="51"/>
  <c r="J21" i="51"/>
  <c r="H21" i="51"/>
  <c r="G21" i="51"/>
  <c r="F21" i="51"/>
  <c r="AA20" i="51"/>
  <c r="Z20" i="51"/>
  <c r="Y20" i="51"/>
  <c r="W20" i="51"/>
  <c r="U20" i="51"/>
  <c r="S20" i="51"/>
  <c r="Q20" i="51"/>
  <c r="P20" i="51"/>
  <c r="N20" i="51"/>
  <c r="L20" i="51"/>
  <c r="J20" i="51"/>
  <c r="H20" i="51"/>
  <c r="G20" i="51"/>
  <c r="F20" i="51"/>
  <c r="AA19" i="51"/>
  <c r="Z19" i="51"/>
  <c r="Y19" i="51"/>
  <c r="W19" i="51"/>
  <c r="U19" i="51"/>
  <c r="S19" i="51"/>
  <c r="Q19" i="51"/>
  <c r="P19" i="51"/>
  <c r="N19" i="51"/>
  <c r="L19" i="51"/>
  <c r="J19" i="51"/>
  <c r="H19" i="51"/>
  <c r="I19" i="51" s="1"/>
  <c r="G19" i="51"/>
  <c r="F19" i="51"/>
  <c r="AA17" i="51"/>
  <c r="Z17" i="51"/>
  <c r="Y17" i="51"/>
  <c r="W17" i="51"/>
  <c r="U17" i="51"/>
  <c r="S17" i="51"/>
  <c r="Q17" i="51"/>
  <c r="P17" i="51"/>
  <c r="N17" i="51"/>
  <c r="L17" i="51"/>
  <c r="J17" i="51"/>
  <c r="H17" i="51"/>
  <c r="G17" i="51"/>
  <c r="F17" i="51"/>
  <c r="AA16" i="51"/>
  <c r="Z16" i="51"/>
  <c r="Y16" i="51"/>
  <c r="W16" i="51"/>
  <c r="U16" i="51"/>
  <c r="S16" i="51"/>
  <c r="Q16" i="51"/>
  <c r="P16" i="51"/>
  <c r="N16" i="51"/>
  <c r="L16" i="51"/>
  <c r="J16" i="51"/>
  <c r="H16" i="51"/>
  <c r="I16" i="51" s="1"/>
  <c r="G16" i="51"/>
  <c r="F16" i="51"/>
  <c r="AA15" i="51"/>
  <c r="Z15" i="51"/>
  <c r="Y15" i="51"/>
  <c r="W15" i="51"/>
  <c r="U15" i="51"/>
  <c r="S15" i="51"/>
  <c r="Q15" i="51"/>
  <c r="P15" i="51"/>
  <c r="N15" i="51"/>
  <c r="L15" i="51"/>
  <c r="J15" i="51"/>
  <c r="H15" i="51"/>
  <c r="G15" i="51"/>
  <c r="F15" i="51"/>
  <c r="AA14" i="51"/>
  <c r="Z14" i="51"/>
  <c r="Y14" i="51"/>
  <c r="W14" i="51"/>
  <c r="U14" i="51"/>
  <c r="S14" i="51"/>
  <c r="Q14" i="51"/>
  <c r="P14" i="51"/>
  <c r="N14" i="51"/>
  <c r="L14" i="51"/>
  <c r="J14" i="51"/>
  <c r="H14" i="51"/>
  <c r="G14" i="51"/>
  <c r="F14" i="51"/>
  <c r="AA13" i="51"/>
  <c r="Z13" i="51"/>
  <c r="Y13" i="51"/>
  <c r="W13" i="51"/>
  <c r="U13" i="51"/>
  <c r="S13" i="51"/>
  <c r="Q13" i="51"/>
  <c r="P13" i="51"/>
  <c r="N13" i="51"/>
  <c r="L13" i="51"/>
  <c r="J13" i="51"/>
  <c r="H13" i="51"/>
  <c r="G13" i="51"/>
  <c r="F13" i="51"/>
  <c r="AA12" i="51"/>
  <c r="Z12" i="51"/>
  <c r="Y12" i="51"/>
  <c r="W12" i="51"/>
  <c r="U12" i="51"/>
  <c r="S12" i="51"/>
  <c r="Q12" i="51"/>
  <c r="P12" i="51"/>
  <c r="N12" i="51"/>
  <c r="L12" i="51"/>
  <c r="J12" i="51"/>
  <c r="H12" i="51"/>
  <c r="G12" i="51"/>
  <c r="F12" i="51"/>
  <c r="AA11" i="51"/>
  <c r="Z11" i="51"/>
  <c r="Y11" i="51"/>
  <c r="W11" i="51"/>
  <c r="U11" i="51"/>
  <c r="S11" i="51"/>
  <c r="Q11" i="51"/>
  <c r="P11" i="51"/>
  <c r="N11" i="51"/>
  <c r="L11" i="51"/>
  <c r="J11" i="51"/>
  <c r="H11" i="51"/>
  <c r="G11" i="51"/>
  <c r="F11" i="51"/>
  <c r="AA10" i="51"/>
  <c r="Z10" i="51"/>
  <c r="Y10" i="51"/>
  <c r="W10" i="51"/>
  <c r="U10" i="51"/>
  <c r="S10" i="51"/>
  <c r="Q10" i="51"/>
  <c r="P10" i="51"/>
  <c r="N10" i="51"/>
  <c r="L10" i="51"/>
  <c r="J10" i="51"/>
  <c r="H10" i="51"/>
  <c r="G10" i="51"/>
  <c r="F10" i="51"/>
  <c r="AA9" i="51"/>
  <c r="Z9" i="51"/>
  <c r="Y9" i="51"/>
  <c r="W9" i="51"/>
  <c r="U9" i="51"/>
  <c r="S9" i="51"/>
  <c r="Q9" i="51"/>
  <c r="P9" i="51"/>
  <c r="N9" i="51"/>
  <c r="L9" i="51"/>
  <c r="J9" i="51"/>
  <c r="H9" i="51"/>
  <c r="G9" i="51"/>
  <c r="F9" i="51"/>
  <c r="G98" i="50"/>
  <c r="C98" i="50"/>
  <c r="O97" i="50"/>
  <c r="K97" i="50"/>
  <c r="G97" i="50"/>
  <c r="C97" i="50"/>
  <c r="O96" i="50"/>
  <c r="K96" i="50"/>
  <c r="G96" i="50"/>
  <c r="C96" i="50"/>
  <c r="O95" i="50"/>
  <c r="K95" i="50"/>
  <c r="G95" i="50"/>
  <c r="C95" i="50"/>
  <c r="O94" i="50"/>
  <c r="K94" i="50"/>
  <c r="G94" i="50"/>
  <c r="C94" i="50"/>
  <c r="O93" i="50"/>
  <c r="K93" i="50"/>
  <c r="G93" i="50"/>
  <c r="C93" i="50"/>
  <c r="O92" i="50"/>
  <c r="K92" i="50"/>
  <c r="G92" i="50"/>
  <c r="C92" i="50"/>
  <c r="O91" i="50"/>
  <c r="K91" i="50"/>
  <c r="G91" i="50"/>
  <c r="C91" i="50"/>
  <c r="O90" i="50"/>
  <c r="K90" i="50"/>
  <c r="G90" i="50"/>
  <c r="C90" i="50"/>
  <c r="O89" i="50"/>
  <c r="K89" i="50"/>
  <c r="G89" i="50"/>
  <c r="C89" i="50"/>
  <c r="O88" i="50"/>
  <c r="K88" i="50"/>
  <c r="G88" i="50"/>
  <c r="C88" i="50"/>
  <c r="O87" i="50"/>
  <c r="K87" i="50"/>
  <c r="G87" i="50"/>
  <c r="C87" i="50"/>
  <c r="O86" i="50"/>
  <c r="K86" i="50"/>
  <c r="G86" i="50"/>
  <c r="C86" i="50"/>
  <c r="O85" i="50"/>
  <c r="K85" i="50"/>
  <c r="G85" i="50"/>
  <c r="C85" i="50"/>
  <c r="O84" i="50"/>
  <c r="K84" i="50"/>
  <c r="G84" i="50"/>
  <c r="C84" i="50"/>
  <c r="O83" i="50"/>
  <c r="K83" i="50"/>
  <c r="G83" i="50"/>
  <c r="C83" i="50"/>
  <c r="O82" i="50"/>
  <c r="K82" i="50"/>
  <c r="G82" i="50"/>
  <c r="C82" i="50"/>
  <c r="O81" i="50"/>
  <c r="K81" i="50"/>
  <c r="G81" i="50"/>
  <c r="C81" i="50"/>
  <c r="E75" i="50"/>
  <c r="D75" i="50"/>
  <c r="C75" i="50"/>
  <c r="F75" i="50" s="1"/>
  <c r="L74" i="50"/>
  <c r="K74" i="50"/>
  <c r="J74" i="50"/>
  <c r="M74" i="50" s="1"/>
  <c r="E74" i="50"/>
  <c r="D74" i="50"/>
  <c r="C74" i="50"/>
  <c r="F74" i="50" s="1"/>
  <c r="L73" i="50"/>
  <c r="K73" i="50"/>
  <c r="J73" i="50"/>
  <c r="M73" i="50" s="1"/>
  <c r="E73" i="50"/>
  <c r="D73" i="50"/>
  <c r="C73" i="50"/>
  <c r="F73" i="50" s="1"/>
  <c r="L72" i="50"/>
  <c r="K72" i="50"/>
  <c r="J72" i="50"/>
  <c r="M72" i="50" s="1"/>
  <c r="E72" i="50"/>
  <c r="D72" i="50"/>
  <c r="C72" i="50"/>
  <c r="F72" i="50" s="1"/>
  <c r="L71" i="50"/>
  <c r="K71" i="50"/>
  <c r="J71" i="50"/>
  <c r="M71" i="50" s="1"/>
  <c r="E71" i="50"/>
  <c r="D71" i="50"/>
  <c r="C71" i="50"/>
  <c r="F71" i="50" s="1"/>
  <c r="L70" i="50"/>
  <c r="K70" i="50"/>
  <c r="J70" i="50"/>
  <c r="M70" i="50" s="1"/>
  <c r="E70" i="50"/>
  <c r="D70" i="50"/>
  <c r="C70" i="50"/>
  <c r="F70" i="50" s="1"/>
  <c r="L69" i="50"/>
  <c r="K69" i="50"/>
  <c r="J69" i="50"/>
  <c r="M69" i="50" s="1"/>
  <c r="E69" i="50"/>
  <c r="D69" i="50"/>
  <c r="C69" i="50"/>
  <c r="F69" i="50" s="1"/>
  <c r="L68" i="50"/>
  <c r="K68" i="50"/>
  <c r="J68" i="50"/>
  <c r="M68" i="50" s="1"/>
  <c r="E68" i="50"/>
  <c r="D68" i="50"/>
  <c r="C68" i="50"/>
  <c r="F68" i="50" s="1"/>
  <c r="L67" i="50"/>
  <c r="K67" i="50"/>
  <c r="J67" i="50"/>
  <c r="M67" i="50" s="1"/>
  <c r="E67" i="50"/>
  <c r="D67" i="50"/>
  <c r="C67" i="50"/>
  <c r="F67" i="50" s="1"/>
  <c r="L66" i="50"/>
  <c r="K66" i="50"/>
  <c r="J66" i="50"/>
  <c r="M66" i="50" s="1"/>
  <c r="E66" i="50"/>
  <c r="D66" i="50"/>
  <c r="C66" i="50"/>
  <c r="F66" i="50" s="1"/>
  <c r="L65" i="50"/>
  <c r="K65" i="50"/>
  <c r="J65" i="50"/>
  <c r="M65" i="50" s="1"/>
  <c r="E65" i="50"/>
  <c r="D65" i="50"/>
  <c r="C65" i="50"/>
  <c r="F65" i="50" s="1"/>
  <c r="L64" i="50"/>
  <c r="K64" i="50"/>
  <c r="J64" i="50"/>
  <c r="M64" i="50" s="1"/>
  <c r="E64" i="50"/>
  <c r="D64" i="50"/>
  <c r="C64" i="50"/>
  <c r="F64" i="50" s="1"/>
  <c r="L63" i="50"/>
  <c r="K63" i="50"/>
  <c r="J63" i="50"/>
  <c r="M63" i="50" s="1"/>
  <c r="E63" i="50"/>
  <c r="D63" i="50"/>
  <c r="C63" i="50"/>
  <c r="F63" i="50" s="1"/>
  <c r="L62" i="50"/>
  <c r="K62" i="50"/>
  <c r="J62" i="50"/>
  <c r="M62" i="50" s="1"/>
  <c r="E62" i="50"/>
  <c r="D62" i="50"/>
  <c r="C62" i="50"/>
  <c r="F62" i="50" s="1"/>
  <c r="L61" i="50"/>
  <c r="K61" i="50"/>
  <c r="J61" i="50"/>
  <c r="M61" i="50" s="1"/>
  <c r="E61" i="50"/>
  <c r="D61" i="50"/>
  <c r="C61" i="50"/>
  <c r="F61" i="50" s="1"/>
  <c r="L60" i="50"/>
  <c r="K60" i="50"/>
  <c r="J60" i="50"/>
  <c r="M60" i="50" s="1"/>
  <c r="E60" i="50"/>
  <c r="D60" i="50"/>
  <c r="C60" i="50"/>
  <c r="F60" i="50" s="1"/>
  <c r="L59" i="50"/>
  <c r="K59" i="50"/>
  <c r="J59" i="50"/>
  <c r="M59" i="50" s="1"/>
  <c r="E59" i="50"/>
  <c r="D59" i="50"/>
  <c r="C59" i="50"/>
  <c r="F59" i="50" s="1"/>
  <c r="L58" i="50"/>
  <c r="K58" i="50"/>
  <c r="J58" i="50"/>
  <c r="M58" i="50" s="1"/>
  <c r="E58" i="50"/>
  <c r="D58" i="50"/>
  <c r="C58" i="50"/>
  <c r="F58" i="50" s="1"/>
  <c r="E53" i="50"/>
  <c r="D53" i="50"/>
  <c r="C53" i="50"/>
  <c r="F53" i="50" s="1"/>
  <c r="L52" i="50"/>
  <c r="K52" i="50"/>
  <c r="J52" i="50"/>
  <c r="M52" i="50" s="1"/>
  <c r="E52" i="50"/>
  <c r="D52" i="50"/>
  <c r="C52" i="50"/>
  <c r="F52" i="50" s="1"/>
  <c r="L51" i="50"/>
  <c r="K51" i="50"/>
  <c r="J51" i="50"/>
  <c r="M51" i="50" s="1"/>
  <c r="E51" i="50"/>
  <c r="D51" i="50"/>
  <c r="C51" i="50"/>
  <c r="F51" i="50" s="1"/>
  <c r="L50" i="50"/>
  <c r="K50" i="50"/>
  <c r="J50" i="50"/>
  <c r="M50" i="50" s="1"/>
  <c r="E50" i="50"/>
  <c r="D50" i="50"/>
  <c r="C50" i="50"/>
  <c r="F50" i="50" s="1"/>
  <c r="L49" i="50"/>
  <c r="K49" i="50"/>
  <c r="J49" i="50"/>
  <c r="M49" i="50" s="1"/>
  <c r="E49" i="50"/>
  <c r="D49" i="50"/>
  <c r="C49" i="50"/>
  <c r="F49" i="50" s="1"/>
  <c r="L48" i="50"/>
  <c r="K48" i="50"/>
  <c r="J48" i="50"/>
  <c r="M48" i="50" s="1"/>
  <c r="E48" i="50"/>
  <c r="D48" i="50"/>
  <c r="C48" i="50"/>
  <c r="F48" i="50" s="1"/>
  <c r="L47" i="50"/>
  <c r="K47" i="50"/>
  <c r="J47" i="50"/>
  <c r="M47" i="50" s="1"/>
  <c r="E47" i="50"/>
  <c r="D47" i="50"/>
  <c r="C47" i="50"/>
  <c r="F47" i="50" s="1"/>
  <c r="L46" i="50"/>
  <c r="K46" i="50"/>
  <c r="J46" i="50"/>
  <c r="M46" i="50" s="1"/>
  <c r="E46" i="50"/>
  <c r="D46" i="50"/>
  <c r="C46" i="50"/>
  <c r="F46" i="50" s="1"/>
  <c r="L45" i="50"/>
  <c r="K45" i="50"/>
  <c r="J45" i="50"/>
  <c r="M45" i="50" s="1"/>
  <c r="E45" i="50"/>
  <c r="D45" i="50"/>
  <c r="C45" i="50"/>
  <c r="F45" i="50" s="1"/>
  <c r="L44" i="50"/>
  <c r="K44" i="50"/>
  <c r="J44" i="50"/>
  <c r="M44" i="50" s="1"/>
  <c r="E44" i="50"/>
  <c r="D44" i="50"/>
  <c r="C44" i="50"/>
  <c r="F44" i="50" s="1"/>
  <c r="L43" i="50"/>
  <c r="K43" i="50"/>
  <c r="J43" i="50"/>
  <c r="M43" i="50" s="1"/>
  <c r="E43" i="50"/>
  <c r="D43" i="50"/>
  <c r="C43" i="50"/>
  <c r="F43" i="50" s="1"/>
  <c r="L42" i="50"/>
  <c r="K42" i="50"/>
  <c r="J42" i="50"/>
  <c r="M42" i="50" s="1"/>
  <c r="E42" i="50"/>
  <c r="D42" i="50"/>
  <c r="C42" i="50"/>
  <c r="F42" i="50" s="1"/>
  <c r="L41" i="50"/>
  <c r="K41" i="50"/>
  <c r="J41" i="50"/>
  <c r="M41" i="50" s="1"/>
  <c r="E41" i="50"/>
  <c r="D41" i="50"/>
  <c r="C41" i="50"/>
  <c r="F41" i="50" s="1"/>
  <c r="L40" i="50"/>
  <c r="K40" i="50"/>
  <c r="J40" i="50"/>
  <c r="M40" i="50" s="1"/>
  <c r="E40" i="50"/>
  <c r="D40" i="50"/>
  <c r="C40" i="50"/>
  <c r="F40" i="50" s="1"/>
  <c r="L39" i="50"/>
  <c r="K39" i="50"/>
  <c r="J39" i="50"/>
  <c r="M39" i="50" s="1"/>
  <c r="E39" i="50"/>
  <c r="D39" i="50"/>
  <c r="C39" i="50"/>
  <c r="F39" i="50" s="1"/>
  <c r="L38" i="50"/>
  <c r="K38" i="50"/>
  <c r="J38" i="50"/>
  <c r="M38" i="50" s="1"/>
  <c r="E38" i="50"/>
  <c r="D38" i="50"/>
  <c r="C38" i="50"/>
  <c r="F38" i="50" s="1"/>
  <c r="L37" i="50"/>
  <c r="K37" i="50"/>
  <c r="J37" i="50"/>
  <c r="M37" i="50" s="1"/>
  <c r="E37" i="50"/>
  <c r="D37" i="50"/>
  <c r="C37" i="50"/>
  <c r="F37" i="50" s="1"/>
  <c r="L36" i="50"/>
  <c r="K36" i="50"/>
  <c r="J36" i="50"/>
  <c r="M36" i="50" s="1"/>
  <c r="E36" i="50"/>
  <c r="D36" i="50"/>
  <c r="C36" i="50"/>
  <c r="F36" i="50" s="1"/>
  <c r="D27" i="50"/>
  <c r="C27" i="50"/>
  <c r="E27" i="50" s="1"/>
  <c r="K26" i="50"/>
  <c r="J26" i="50"/>
  <c r="L26" i="50" s="1"/>
  <c r="D26" i="50"/>
  <c r="C26" i="50"/>
  <c r="E26" i="50" s="1"/>
  <c r="K25" i="50"/>
  <c r="J25" i="50"/>
  <c r="L25" i="50" s="1"/>
  <c r="D25" i="50"/>
  <c r="C25" i="50"/>
  <c r="E25" i="50" s="1"/>
  <c r="K24" i="50"/>
  <c r="J24" i="50"/>
  <c r="L24" i="50" s="1"/>
  <c r="D24" i="50"/>
  <c r="C24" i="50"/>
  <c r="E24" i="50" s="1"/>
  <c r="K23" i="50"/>
  <c r="J23" i="50"/>
  <c r="L23" i="50" s="1"/>
  <c r="D23" i="50"/>
  <c r="C23" i="50"/>
  <c r="E23" i="50" s="1"/>
  <c r="K22" i="50"/>
  <c r="J22" i="50"/>
  <c r="L22" i="50" s="1"/>
  <c r="D22" i="50"/>
  <c r="C22" i="50"/>
  <c r="E22" i="50" s="1"/>
  <c r="K21" i="50"/>
  <c r="J21" i="50"/>
  <c r="L21" i="50" s="1"/>
  <c r="D21" i="50"/>
  <c r="C21" i="50"/>
  <c r="E21" i="50" s="1"/>
  <c r="K20" i="50"/>
  <c r="J20" i="50"/>
  <c r="L20" i="50" s="1"/>
  <c r="D20" i="50"/>
  <c r="C20" i="50"/>
  <c r="E20" i="50" s="1"/>
  <c r="K19" i="50"/>
  <c r="J19" i="50"/>
  <c r="L19" i="50" s="1"/>
  <c r="D19" i="50"/>
  <c r="C19" i="50"/>
  <c r="E19" i="50" s="1"/>
  <c r="K18" i="50"/>
  <c r="J18" i="50"/>
  <c r="L18" i="50" s="1"/>
  <c r="D18" i="50"/>
  <c r="C18" i="50"/>
  <c r="E18" i="50" s="1"/>
  <c r="K17" i="50"/>
  <c r="J17" i="50"/>
  <c r="L17" i="50" s="1"/>
  <c r="D17" i="50"/>
  <c r="C17" i="50"/>
  <c r="E17" i="50" s="1"/>
  <c r="K16" i="50"/>
  <c r="J16" i="50"/>
  <c r="L16" i="50" s="1"/>
  <c r="D16" i="50"/>
  <c r="C16" i="50"/>
  <c r="E16" i="50" s="1"/>
  <c r="K15" i="50"/>
  <c r="J15" i="50"/>
  <c r="L15" i="50" s="1"/>
  <c r="D15" i="50"/>
  <c r="C15" i="50"/>
  <c r="E15" i="50" s="1"/>
  <c r="K14" i="50"/>
  <c r="J14" i="50"/>
  <c r="L14" i="50" s="1"/>
  <c r="D14" i="50"/>
  <c r="C14" i="50"/>
  <c r="E14" i="50" s="1"/>
  <c r="K13" i="50"/>
  <c r="J13" i="50"/>
  <c r="L13" i="50" s="1"/>
  <c r="D13" i="50"/>
  <c r="C13" i="50"/>
  <c r="E13" i="50" s="1"/>
  <c r="K12" i="50"/>
  <c r="J12" i="50"/>
  <c r="L12" i="50" s="1"/>
  <c r="D12" i="50"/>
  <c r="C12" i="50"/>
  <c r="E12" i="50" s="1"/>
  <c r="K11" i="50"/>
  <c r="J11" i="50"/>
  <c r="L11" i="50" s="1"/>
  <c r="D11" i="50"/>
  <c r="C11" i="50"/>
  <c r="E11" i="50" s="1"/>
  <c r="K10" i="50"/>
  <c r="J10" i="50"/>
  <c r="L10" i="50" s="1"/>
  <c r="D10" i="50"/>
  <c r="C10" i="50"/>
  <c r="E10" i="50" s="1"/>
  <c r="O80" i="50"/>
  <c r="K80" i="50"/>
  <c r="G80" i="50"/>
  <c r="C80" i="50"/>
  <c r="G98" i="49"/>
  <c r="C98" i="49"/>
  <c r="O97" i="49"/>
  <c r="K97" i="49"/>
  <c r="G97" i="49"/>
  <c r="C97" i="49"/>
  <c r="O96" i="49"/>
  <c r="K96" i="49"/>
  <c r="G96" i="49"/>
  <c r="C96" i="49"/>
  <c r="O95" i="49"/>
  <c r="K95" i="49"/>
  <c r="G95" i="49"/>
  <c r="C95" i="49"/>
  <c r="O94" i="49"/>
  <c r="K94" i="49"/>
  <c r="G94" i="49"/>
  <c r="C94" i="49"/>
  <c r="O93" i="49"/>
  <c r="K93" i="49"/>
  <c r="G93" i="49"/>
  <c r="C93" i="49"/>
  <c r="O92" i="49"/>
  <c r="K92" i="49"/>
  <c r="G92" i="49"/>
  <c r="C92" i="49"/>
  <c r="O91" i="49"/>
  <c r="K91" i="49"/>
  <c r="G91" i="49"/>
  <c r="C91" i="49"/>
  <c r="O90" i="49"/>
  <c r="K90" i="49"/>
  <c r="G90" i="49"/>
  <c r="C90" i="49"/>
  <c r="O89" i="49"/>
  <c r="K89" i="49"/>
  <c r="G89" i="49"/>
  <c r="C89" i="49"/>
  <c r="O88" i="49"/>
  <c r="K88" i="49"/>
  <c r="G88" i="49"/>
  <c r="C88" i="49"/>
  <c r="O87" i="49"/>
  <c r="K87" i="49"/>
  <c r="G87" i="49"/>
  <c r="C87" i="49"/>
  <c r="O86" i="49"/>
  <c r="K86" i="49"/>
  <c r="G86" i="49"/>
  <c r="C86" i="49"/>
  <c r="O85" i="49"/>
  <c r="K85" i="49"/>
  <c r="G85" i="49"/>
  <c r="C85" i="49"/>
  <c r="O84" i="49"/>
  <c r="K84" i="49"/>
  <c r="G84" i="49"/>
  <c r="C84" i="49"/>
  <c r="O83" i="49"/>
  <c r="K83" i="49"/>
  <c r="G83" i="49"/>
  <c r="C83" i="49"/>
  <c r="O82" i="49"/>
  <c r="K82" i="49"/>
  <c r="G82" i="49"/>
  <c r="C82" i="49"/>
  <c r="O81" i="49"/>
  <c r="K81" i="49"/>
  <c r="G81" i="49"/>
  <c r="C81" i="49"/>
  <c r="E75" i="49"/>
  <c r="D75" i="49"/>
  <c r="C75" i="49"/>
  <c r="F75" i="49" s="1"/>
  <c r="L74" i="49"/>
  <c r="K74" i="49"/>
  <c r="J74" i="49"/>
  <c r="M74" i="49" s="1"/>
  <c r="E74" i="49"/>
  <c r="D74" i="49"/>
  <c r="C74" i="49"/>
  <c r="F74" i="49" s="1"/>
  <c r="L73" i="49"/>
  <c r="K73" i="49"/>
  <c r="J73" i="49"/>
  <c r="M73" i="49" s="1"/>
  <c r="E73" i="49"/>
  <c r="D73" i="49"/>
  <c r="C73" i="49"/>
  <c r="F73" i="49" s="1"/>
  <c r="L72" i="49"/>
  <c r="K72" i="49"/>
  <c r="J72" i="49"/>
  <c r="M72" i="49" s="1"/>
  <c r="E72" i="49"/>
  <c r="D72" i="49"/>
  <c r="C72" i="49"/>
  <c r="F72" i="49" s="1"/>
  <c r="L71" i="49"/>
  <c r="K71" i="49"/>
  <c r="J71" i="49"/>
  <c r="M71" i="49" s="1"/>
  <c r="E71" i="49"/>
  <c r="D71" i="49"/>
  <c r="C71" i="49"/>
  <c r="F71" i="49" s="1"/>
  <c r="L70" i="49"/>
  <c r="K70" i="49"/>
  <c r="J70" i="49"/>
  <c r="M70" i="49" s="1"/>
  <c r="E70" i="49"/>
  <c r="D70" i="49"/>
  <c r="C70" i="49"/>
  <c r="F70" i="49" s="1"/>
  <c r="L69" i="49"/>
  <c r="K69" i="49"/>
  <c r="J69" i="49"/>
  <c r="M69" i="49" s="1"/>
  <c r="E69" i="49"/>
  <c r="D69" i="49"/>
  <c r="C69" i="49"/>
  <c r="F69" i="49" s="1"/>
  <c r="L68" i="49"/>
  <c r="K68" i="49"/>
  <c r="J68" i="49"/>
  <c r="M68" i="49" s="1"/>
  <c r="E68" i="49"/>
  <c r="D68" i="49"/>
  <c r="C68" i="49"/>
  <c r="F68" i="49" s="1"/>
  <c r="L67" i="49"/>
  <c r="K67" i="49"/>
  <c r="J67" i="49"/>
  <c r="M67" i="49" s="1"/>
  <c r="E67" i="49"/>
  <c r="D67" i="49"/>
  <c r="C67" i="49"/>
  <c r="F67" i="49" s="1"/>
  <c r="L66" i="49"/>
  <c r="K66" i="49"/>
  <c r="J66" i="49"/>
  <c r="M66" i="49" s="1"/>
  <c r="E66" i="49"/>
  <c r="D66" i="49"/>
  <c r="C66" i="49"/>
  <c r="F66" i="49" s="1"/>
  <c r="L65" i="49"/>
  <c r="K65" i="49"/>
  <c r="J65" i="49"/>
  <c r="M65" i="49" s="1"/>
  <c r="E65" i="49"/>
  <c r="D65" i="49"/>
  <c r="C65" i="49"/>
  <c r="F65" i="49" s="1"/>
  <c r="L64" i="49"/>
  <c r="K64" i="49"/>
  <c r="J64" i="49"/>
  <c r="M64" i="49" s="1"/>
  <c r="E64" i="49"/>
  <c r="D64" i="49"/>
  <c r="C64" i="49"/>
  <c r="F64" i="49" s="1"/>
  <c r="L63" i="49"/>
  <c r="K63" i="49"/>
  <c r="J63" i="49"/>
  <c r="M63" i="49" s="1"/>
  <c r="E63" i="49"/>
  <c r="D63" i="49"/>
  <c r="C63" i="49"/>
  <c r="F63" i="49" s="1"/>
  <c r="L62" i="49"/>
  <c r="K62" i="49"/>
  <c r="J62" i="49"/>
  <c r="M62" i="49" s="1"/>
  <c r="E62" i="49"/>
  <c r="D62" i="49"/>
  <c r="C62" i="49"/>
  <c r="F62" i="49" s="1"/>
  <c r="L61" i="49"/>
  <c r="K61" i="49"/>
  <c r="J61" i="49"/>
  <c r="M61" i="49" s="1"/>
  <c r="E61" i="49"/>
  <c r="D61" i="49"/>
  <c r="C61" i="49"/>
  <c r="F61" i="49" s="1"/>
  <c r="L60" i="49"/>
  <c r="K60" i="49"/>
  <c r="J60" i="49"/>
  <c r="M60" i="49" s="1"/>
  <c r="E60" i="49"/>
  <c r="D60" i="49"/>
  <c r="C60" i="49"/>
  <c r="F60" i="49" s="1"/>
  <c r="L59" i="49"/>
  <c r="K59" i="49"/>
  <c r="J59" i="49"/>
  <c r="M59" i="49" s="1"/>
  <c r="E59" i="49"/>
  <c r="D59" i="49"/>
  <c r="C59" i="49"/>
  <c r="F59" i="49" s="1"/>
  <c r="L58" i="49"/>
  <c r="K58" i="49"/>
  <c r="J58" i="49"/>
  <c r="M58" i="49" s="1"/>
  <c r="E58" i="49"/>
  <c r="D58" i="49"/>
  <c r="C58" i="49"/>
  <c r="F58" i="49" s="1"/>
  <c r="E53" i="49"/>
  <c r="D53" i="49"/>
  <c r="C53" i="49"/>
  <c r="F53" i="49" s="1"/>
  <c r="L52" i="49"/>
  <c r="K52" i="49"/>
  <c r="J52" i="49"/>
  <c r="M52" i="49" s="1"/>
  <c r="E52" i="49"/>
  <c r="D52" i="49"/>
  <c r="C52" i="49"/>
  <c r="F52" i="49" s="1"/>
  <c r="L51" i="49"/>
  <c r="K51" i="49"/>
  <c r="J51" i="49"/>
  <c r="M51" i="49" s="1"/>
  <c r="E51" i="49"/>
  <c r="D51" i="49"/>
  <c r="C51" i="49"/>
  <c r="F51" i="49" s="1"/>
  <c r="L50" i="49"/>
  <c r="K50" i="49"/>
  <c r="J50" i="49"/>
  <c r="M50" i="49" s="1"/>
  <c r="E50" i="49"/>
  <c r="D50" i="49"/>
  <c r="C50" i="49"/>
  <c r="F50" i="49" s="1"/>
  <c r="L49" i="49"/>
  <c r="K49" i="49"/>
  <c r="J49" i="49"/>
  <c r="M49" i="49" s="1"/>
  <c r="E49" i="49"/>
  <c r="D49" i="49"/>
  <c r="C49" i="49"/>
  <c r="F49" i="49" s="1"/>
  <c r="L48" i="49"/>
  <c r="K48" i="49"/>
  <c r="J48" i="49"/>
  <c r="M48" i="49" s="1"/>
  <c r="E48" i="49"/>
  <c r="D48" i="49"/>
  <c r="C48" i="49"/>
  <c r="F48" i="49" s="1"/>
  <c r="L47" i="49"/>
  <c r="K47" i="49"/>
  <c r="J47" i="49"/>
  <c r="M47" i="49" s="1"/>
  <c r="E47" i="49"/>
  <c r="D47" i="49"/>
  <c r="C47" i="49"/>
  <c r="F47" i="49" s="1"/>
  <c r="L46" i="49"/>
  <c r="K46" i="49"/>
  <c r="J46" i="49"/>
  <c r="M46" i="49" s="1"/>
  <c r="E46" i="49"/>
  <c r="D46" i="49"/>
  <c r="C46" i="49"/>
  <c r="F46" i="49" s="1"/>
  <c r="L45" i="49"/>
  <c r="K45" i="49"/>
  <c r="J45" i="49"/>
  <c r="M45" i="49" s="1"/>
  <c r="E45" i="49"/>
  <c r="D45" i="49"/>
  <c r="C45" i="49"/>
  <c r="F45" i="49" s="1"/>
  <c r="L44" i="49"/>
  <c r="K44" i="49"/>
  <c r="J44" i="49"/>
  <c r="M44" i="49" s="1"/>
  <c r="E44" i="49"/>
  <c r="D44" i="49"/>
  <c r="C44" i="49"/>
  <c r="F44" i="49" s="1"/>
  <c r="L43" i="49"/>
  <c r="K43" i="49"/>
  <c r="J43" i="49"/>
  <c r="M43" i="49" s="1"/>
  <c r="E43" i="49"/>
  <c r="D43" i="49"/>
  <c r="C43" i="49"/>
  <c r="F43" i="49" s="1"/>
  <c r="L42" i="49"/>
  <c r="K42" i="49"/>
  <c r="J42" i="49"/>
  <c r="M42" i="49" s="1"/>
  <c r="E42" i="49"/>
  <c r="D42" i="49"/>
  <c r="C42" i="49"/>
  <c r="F42" i="49" s="1"/>
  <c r="L41" i="49"/>
  <c r="K41" i="49"/>
  <c r="J41" i="49"/>
  <c r="M41" i="49" s="1"/>
  <c r="E41" i="49"/>
  <c r="D41" i="49"/>
  <c r="C41" i="49"/>
  <c r="F41" i="49" s="1"/>
  <c r="L40" i="49"/>
  <c r="K40" i="49"/>
  <c r="J40" i="49"/>
  <c r="M40" i="49" s="1"/>
  <c r="E40" i="49"/>
  <c r="D40" i="49"/>
  <c r="C40" i="49"/>
  <c r="F40" i="49" s="1"/>
  <c r="L39" i="49"/>
  <c r="K39" i="49"/>
  <c r="J39" i="49"/>
  <c r="M39" i="49" s="1"/>
  <c r="E39" i="49"/>
  <c r="D39" i="49"/>
  <c r="C39" i="49"/>
  <c r="F39" i="49" s="1"/>
  <c r="L38" i="49"/>
  <c r="K38" i="49"/>
  <c r="J38" i="49"/>
  <c r="M38" i="49" s="1"/>
  <c r="E38" i="49"/>
  <c r="D38" i="49"/>
  <c r="C38" i="49"/>
  <c r="F38" i="49" s="1"/>
  <c r="L37" i="49"/>
  <c r="K37" i="49"/>
  <c r="J37" i="49"/>
  <c r="M37" i="49" s="1"/>
  <c r="E37" i="49"/>
  <c r="D37" i="49"/>
  <c r="C37" i="49"/>
  <c r="F37" i="49" s="1"/>
  <c r="L36" i="49"/>
  <c r="K36" i="49"/>
  <c r="J36" i="49"/>
  <c r="M36" i="49" s="1"/>
  <c r="E36" i="49"/>
  <c r="D36" i="49"/>
  <c r="C36" i="49"/>
  <c r="F36" i="49" s="1"/>
  <c r="D27" i="49"/>
  <c r="C27" i="49"/>
  <c r="E27" i="49" s="1"/>
  <c r="K26" i="49"/>
  <c r="J26" i="49"/>
  <c r="L26" i="49" s="1"/>
  <c r="D26" i="49"/>
  <c r="C26" i="49"/>
  <c r="E26" i="49" s="1"/>
  <c r="K25" i="49"/>
  <c r="J25" i="49"/>
  <c r="L25" i="49" s="1"/>
  <c r="D25" i="49"/>
  <c r="C25" i="49"/>
  <c r="E25" i="49" s="1"/>
  <c r="K24" i="49"/>
  <c r="J24" i="49"/>
  <c r="L24" i="49" s="1"/>
  <c r="D24" i="49"/>
  <c r="C24" i="49"/>
  <c r="E24" i="49" s="1"/>
  <c r="K23" i="49"/>
  <c r="J23" i="49"/>
  <c r="L23" i="49" s="1"/>
  <c r="D23" i="49"/>
  <c r="C23" i="49"/>
  <c r="E23" i="49" s="1"/>
  <c r="K22" i="49"/>
  <c r="J22" i="49"/>
  <c r="L22" i="49" s="1"/>
  <c r="D22" i="49"/>
  <c r="C22" i="49"/>
  <c r="E22" i="49" s="1"/>
  <c r="K21" i="49"/>
  <c r="J21" i="49"/>
  <c r="L21" i="49" s="1"/>
  <c r="D21" i="49"/>
  <c r="C21" i="49"/>
  <c r="E21" i="49" s="1"/>
  <c r="K20" i="49"/>
  <c r="J20" i="49"/>
  <c r="L20" i="49" s="1"/>
  <c r="D20" i="49"/>
  <c r="C20" i="49"/>
  <c r="E20" i="49" s="1"/>
  <c r="K19" i="49"/>
  <c r="J19" i="49"/>
  <c r="L19" i="49" s="1"/>
  <c r="D19" i="49"/>
  <c r="C19" i="49"/>
  <c r="E19" i="49" s="1"/>
  <c r="K18" i="49"/>
  <c r="J18" i="49"/>
  <c r="L18" i="49" s="1"/>
  <c r="D18" i="49"/>
  <c r="C18" i="49"/>
  <c r="E18" i="49" s="1"/>
  <c r="K17" i="49"/>
  <c r="J17" i="49"/>
  <c r="L17" i="49" s="1"/>
  <c r="D17" i="49"/>
  <c r="C17" i="49"/>
  <c r="E17" i="49" s="1"/>
  <c r="K16" i="49"/>
  <c r="J16" i="49"/>
  <c r="L16" i="49" s="1"/>
  <c r="D16" i="49"/>
  <c r="C16" i="49"/>
  <c r="E16" i="49" s="1"/>
  <c r="K15" i="49"/>
  <c r="J15" i="49"/>
  <c r="L15" i="49" s="1"/>
  <c r="D15" i="49"/>
  <c r="C15" i="49"/>
  <c r="E15" i="49" s="1"/>
  <c r="K14" i="49"/>
  <c r="J14" i="49"/>
  <c r="L14" i="49" s="1"/>
  <c r="D14" i="49"/>
  <c r="C14" i="49"/>
  <c r="E14" i="49" s="1"/>
  <c r="K13" i="49"/>
  <c r="J13" i="49"/>
  <c r="L13" i="49" s="1"/>
  <c r="D13" i="49"/>
  <c r="C13" i="49"/>
  <c r="E13" i="49" s="1"/>
  <c r="K12" i="49"/>
  <c r="J12" i="49"/>
  <c r="L12" i="49" s="1"/>
  <c r="D12" i="49"/>
  <c r="C12" i="49"/>
  <c r="E12" i="49" s="1"/>
  <c r="K11" i="49"/>
  <c r="J11" i="49"/>
  <c r="L11" i="49" s="1"/>
  <c r="D11" i="49"/>
  <c r="C11" i="49"/>
  <c r="E11" i="49" s="1"/>
  <c r="K10" i="49"/>
  <c r="J10" i="49"/>
  <c r="L10" i="49" s="1"/>
  <c r="D10" i="49"/>
  <c r="C10" i="49"/>
  <c r="E10" i="49" s="1"/>
  <c r="O80" i="49"/>
  <c r="K80" i="49"/>
  <c r="G80" i="49"/>
  <c r="C80" i="49"/>
  <c r="G95" i="48"/>
  <c r="C94" i="48"/>
  <c r="O84" i="48"/>
  <c r="K84" i="48"/>
  <c r="G90" i="48"/>
  <c r="C87" i="48"/>
  <c r="O97" i="48"/>
  <c r="K94" i="48"/>
  <c r="G94" i="48"/>
  <c r="C92" i="48"/>
  <c r="O96" i="48"/>
  <c r="K92" i="48"/>
  <c r="G89" i="48"/>
  <c r="C86" i="48"/>
  <c r="O83" i="48"/>
  <c r="K83" i="48"/>
  <c r="G83" i="48"/>
  <c r="C83" i="48"/>
  <c r="O95" i="48"/>
  <c r="K93" i="48"/>
  <c r="G82" i="48"/>
  <c r="C82" i="48"/>
  <c r="O94" i="48"/>
  <c r="K91" i="48"/>
  <c r="G93" i="48"/>
  <c r="C91" i="48"/>
  <c r="O82" i="48"/>
  <c r="K82" i="48"/>
  <c r="G88" i="48"/>
  <c r="C93" i="48"/>
  <c r="O85" i="48"/>
  <c r="K97" i="48"/>
  <c r="G92" i="48"/>
  <c r="C88" i="48"/>
  <c r="O93" i="48"/>
  <c r="K90" i="48"/>
  <c r="G81" i="48"/>
  <c r="C81" i="48"/>
  <c r="O92" i="48"/>
  <c r="K89" i="48"/>
  <c r="G87" i="48"/>
  <c r="C89" i="48"/>
  <c r="O91" i="48"/>
  <c r="K88" i="48"/>
  <c r="G86" i="48"/>
  <c r="C85" i="48"/>
  <c r="O81" i="48"/>
  <c r="K81" i="48"/>
  <c r="G85" i="48"/>
  <c r="C84" i="48"/>
  <c r="O90" i="48"/>
  <c r="K87" i="48"/>
  <c r="G97" i="48"/>
  <c r="C97" i="48"/>
  <c r="O89" i="48"/>
  <c r="K95" i="48"/>
  <c r="G98" i="48"/>
  <c r="C98" i="48"/>
  <c r="O88" i="48"/>
  <c r="K86" i="48"/>
  <c r="G91" i="48"/>
  <c r="C95" i="48"/>
  <c r="O87" i="48"/>
  <c r="K96" i="48"/>
  <c r="G84" i="48"/>
  <c r="C90" i="48"/>
  <c r="O86" i="48"/>
  <c r="K85" i="48"/>
  <c r="G96" i="48"/>
  <c r="C96" i="48"/>
  <c r="E66" i="48"/>
  <c r="D66" i="48"/>
  <c r="C66" i="48"/>
  <c r="F66" i="48" s="1"/>
  <c r="L61" i="48"/>
  <c r="K61" i="48"/>
  <c r="J61" i="48"/>
  <c r="E73" i="48"/>
  <c r="D73" i="48"/>
  <c r="C73" i="48"/>
  <c r="L70" i="48"/>
  <c r="K70" i="48"/>
  <c r="J70" i="48"/>
  <c r="E70" i="48"/>
  <c r="D70" i="48"/>
  <c r="C70" i="48"/>
  <c r="L69" i="48"/>
  <c r="K69" i="48"/>
  <c r="J69" i="48"/>
  <c r="E68" i="48"/>
  <c r="D68" i="48"/>
  <c r="C68" i="48"/>
  <c r="L60" i="48"/>
  <c r="K60" i="48"/>
  <c r="J60" i="48"/>
  <c r="M60" i="48" s="1"/>
  <c r="E60" i="48"/>
  <c r="D60" i="48"/>
  <c r="C60" i="48"/>
  <c r="F60" i="48" s="1"/>
  <c r="L68" i="48"/>
  <c r="K68" i="48"/>
  <c r="J68" i="48"/>
  <c r="E59" i="48"/>
  <c r="D59" i="48"/>
  <c r="C59" i="48"/>
  <c r="F59" i="48" s="1"/>
  <c r="L71" i="48"/>
  <c r="K71" i="48"/>
  <c r="J71" i="48"/>
  <c r="E72" i="48"/>
  <c r="D72" i="48"/>
  <c r="C72" i="48"/>
  <c r="L59" i="48"/>
  <c r="K59" i="48"/>
  <c r="J59" i="48"/>
  <c r="M59" i="48" s="1"/>
  <c r="E63" i="48"/>
  <c r="D63" i="48"/>
  <c r="C63" i="48"/>
  <c r="L62" i="48"/>
  <c r="K62" i="48"/>
  <c r="J62" i="48"/>
  <c r="E62" i="48"/>
  <c r="D62" i="48"/>
  <c r="C62" i="48"/>
  <c r="L72" i="48"/>
  <c r="K72" i="48"/>
  <c r="J72" i="48"/>
  <c r="E58" i="48"/>
  <c r="D58" i="48"/>
  <c r="C58" i="48"/>
  <c r="F58" i="48" s="1"/>
  <c r="L67" i="48"/>
  <c r="K67" i="48"/>
  <c r="J67" i="48"/>
  <c r="E71" i="48"/>
  <c r="D71" i="48"/>
  <c r="C71" i="48"/>
  <c r="L66" i="48"/>
  <c r="K66" i="48"/>
  <c r="J66" i="48"/>
  <c r="E67" i="48"/>
  <c r="D67" i="48"/>
  <c r="C67" i="48"/>
  <c r="L58" i="48"/>
  <c r="K58" i="48"/>
  <c r="J58" i="48"/>
  <c r="M58" i="48" s="1"/>
  <c r="E69" i="48"/>
  <c r="D69" i="48"/>
  <c r="C69" i="48"/>
  <c r="F69" i="48" s="1"/>
  <c r="L65" i="48"/>
  <c r="K65" i="48"/>
  <c r="J65" i="48"/>
  <c r="E64" i="48"/>
  <c r="D64" i="48"/>
  <c r="C64" i="48"/>
  <c r="L64" i="48"/>
  <c r="K64" i="48"/>
  <c r="J64" i="48"/>
  <c r="E65" i="48"/>
  <c r="D65" i="48"/>
  <c r="C65" i="48"/>
  <c r="L74" i="48"/>
  <c r="K74" i="48"/>
  <c r="J74" i="48"/>
  <c r="E74" i="48"/>
  <c r="D74" i="48"/>
  <c r="C74" i="48"/>
  <c r="L63" i="48"/>
  <c r="K63" i="48"/>
  <c r="J63" i="48"/>
  <c r="E61" i="48"/>
  <c r="D61" i="48"/>
  <c r="C61" i="48"/>
  <c r="L73" i="48"/>
  <c r="K73" i="48"/>
  <c r="J73" i="48"/>
  <c r="E75" i="48"/>
  <c r="D75" i="48"/>
  <c r="C75" i="48"/>
  <c r="E43" i="48"/>
  <c r="D43" i="48"/>
  <c r="C43" i="48"/>
  <c r="L39" i="48"/>
  <c r="K39" i="48"/>
  <c r="J39" i="48"/>
  <c r="E49" i="48"/>
  <c r="D49" i="48"/>
  <c r="C49" i="48"/>
  <c r="L45" i="48"/>
  <c r="K45" i="48"/>
  <c r="J45" i="48"/>
  <c r="E48" i="48"/>
  <c r="D48" i="48"/>
  <c r="C48" i="48"/>
  <c r="L44" i="48"/>
  <c r="K44" i="48"/>
  <c r="J44" i="48"/>
  <c r="E42" i="48"/>
  <c r="D42" i="48"/>
  <c r="C42" i="48"/>
  <c r="L38" i="48"/>
  <c r="K38" i="48"/>
  <c r="J38" i="48"/>
  <c r="M38" i="48" s="1"/>
  <c r="E38" i="48"/>
  <c r="D38" i="48"/>
  <c r="C38" i="48"/>
  <c r="F38" i="48" s="1"/>
  <c r="L52" i="48"/>
  <c r="K52" i="48"/>
  <c r="J52" i="48"/>
  <c r="E37" i="48"/>
  <c r="D37" i="48"/>
  <c r="C37" i="48"/>
  <c r="F37" i="48" s="1"/>
  <c r="L49" i="48"/>
  <c r="K49" i="48"/>
  <c r="J49" i="48"/>
  <c r="E50" i="48"/>
  <c r="D50" i="48"/>
  <c r="C50" i="48"/>
  <c r="L37" i="48"/>
  <c r="K37" i="48"/>
  <c r="J37" i="48"/>
  <c r="M37" i="48" s="1"/>
  <c r="E53" i="48"/>
  <c r="D53" i="48"/>
  <c r="C53" i="48"/>
  <c r="L51" i="48"/>
  <c r="K51" i="48"/>
  <c r="J51" i="48"/>
  <c r="E45" i="48"/>
  <c r="D45" i="48"/>
  <c r="C45" i="48"/>
  <c r="L48" i="48"/>
  <c r="K48" i="48"/>
  <c r="J48" i="48"/>
  <c r="E36" i="48"/>
  <c r="D36" i="48"/>
  <c r="C36" i="48"/>
  <c r="F36" i="48" s="1"/>
  <c r="L50" i="48"/>
  <c r="K50" i="48"/>
  <c r="J50" i="48"/>
  <c r="E47" i="48"/>
  <c r="D47" i="48"/>
  <c r="C47" i="48"/>
  <c r="L46" i="48"/>
  <c r="K46" i="48"/>
  <c r="J46" i="48"/>
  <c r="E44" i="48"/>
  <c r="D44" i="48"/>
  <c r="C44" i="48"/>
  <c r="L36" i="48"/>
  <c r="K36" i="48"/>
  <c r="J36" i="48"/>
  <c r="M36" i="48" s="1"/>
  <c r="E41" i="48"/>
  <c r="D41" i="48"/>
  <c r="C41" i="48"/>
  <c r="L43" i="48"/>
  <c r="K43" i="48"/>
  <c r="J43" i="48"/>
  <c r="E46" i="48"/>
  <c r="D46" i="48"/>
  <c r="C46" i="48"/>
  <c r="L42" i="48"/>
  <c r="K42" i="48"/>
  <c r="J42" i="48"/>
  <c r="E40" i="48"/>
  <c r="D40" i="48"/>
  <c r="C40" i="48"/>
  <c r="L41" i="48"/>
  <c r="K41" i="48"/>
  <c r="J41" i="48"/>
  <c r="E39" i="48"/>
  <c r="D39" i="48"/>
  <c r="C39" i="48"/>
  <c r="L47" i="48"/>
  <c r="K47" i="48"/>
  <c r="J47" i="48"/>
  <c r="E52" i="48"/>
  <c r="D52" i="48"/>
  <c r="C52" i="48"/>
  <c r="L40" i="48"/>
  <c r="K40" i="48"/>
  <c r="J40" i="48"/>
  <c r="E51" i="48"/>
  <c r="D51" i="48"/>
  <c r="C51" i="48"/>
  <c r="D17" i="48"/>
  <c r="C17" i="48"/>
  <c r="K13" i="48"/>
  <c r="J13" i="48"/>
  <c r="L13" i="48" s="1"/>
  <c r="D15" i="48"/>
  <c r="C15" i="48"/>
  <c r="K21" i="48"/>
  <c r="J21" i="48"/>
  <c r="D25" i="48"/>
  <c r="C25" i="48"/>
  <c r="K19" i="48"/>
  <c r="J19" i="48"/>
  <c r="L19" i="48" s="1"/>
  <c r="D14" i="48"/>
  <c r="C14" i="48"/>
  <c r="K12" i="48"/>
  <c r="J12" i="48"/>
  <c r="L12" i="48" s="1"/>
  <c r="D12" i="48"/>
  <c r="C12" i="48"/>
  <c r="E12" i="48" s="1"/>
  <c r="K26" i="48"/>
  <c r="J26" i="48"/>
  <c r="D11" i="48"/>
  <c r="C11" i="48"/>
  <c r="E11" i="48" s="1"/>
  <c r="K22" i="48"/>
  <c r="J22" i="48"/>
  <c r="D21" i="48"/>
  <c r="C21" i="48"/>
  <c r="K11" i="48"/>
  <c r="J11" i="48"/>
  <c r="L11" i="48" s="1"/>
  <c r="D27" i="48"/>
  <c r="C27" i="48"/>
  <c r="K25" i="48"/>
  <c r="J25" i="48"/>
  <c r="L25" i="48" s="1"/>
  <c r="D24" i="48"/>
  <c r="C24" i="48"/>
  <c r="K24" i="48"/>
  <c r="J24" i="48"/>
  <c r="D10" i="48"/>
  <c r="C10" i="48"/>
  <c r="E10" i="48" s="1"/>
  <c r="K20" i="48"/>
  <c r="J20" i="48"/>
  <c r="D16" i="48"/>
  <c r="C16" i="48"/>
  <c r="K18" i="48"/>
  <c r="J18" i="48"/>
  <c r="L18" i="48" s="1"/>
  <c r="D22" i="48"/>
  <c r="C22" i="48"/>
  <c r="K10" i="48"/>
  <c r="J10" i="48"/>
  <c r="L10" i="48" s="1"/>
  <c r="D26" i="48"/>
  <c r="C26" i="48"/>
  <c r="K17" i="48"/>
  <c r="J17" i="48"/>
  <c r="D19" i="48"/>
  <c r="C19" i="48"/>
  <c r="K16" i="48"/>
  <c r="J16" i="48"/>
  <c r="D18" i="48"/>
  <c r="C18" i="48"/>
  <c r="E18" i="48" s="1"/>
  <c r="K15" i="48"/>
  <c r="J15" i="48"/>
  <c r="D13" i="48"/>
  <c r="C13" i="48"/>
  <c r="E13" i="48" s="1"/>
  <c r="K23" i="48"/>
  <c r="J23" i="48"/>
  <c r="D20" i="48"/>
  <c r="C20" i="48"/>
  <c r="K14" i="48"/>
  <c r="J14" i="48"/>
  <c r="D23" i="48"/>
  <c r="C23" i="48"/>
  <c r="O80" i="48"/>
  <c r="K80" i="48"/>
  <c r="G80" i="48"/>
  <c r="C80" i="48"/>
  <c r="M62" i="48" l="1"/>
  <c r="M51" i="48"/>
  <c r="F73" i="48"/>
  <c r="F48" i="48"/>
  <c r="L16" i="48"/>
  <c r="L20" i="48"/>
  <c r="E22" i="48"/>
  <c r="E15" i="48"/>
  <c r="F44" i="48"/>
  <c r="F67" i="48"/>
  <c r="M45" i="48"/>
  <c r="M46" i="48"/>
  <c r="L21" i="48"/>
  <c r="M66" i="48"/>
  <c r="E17" i="48"/>
  <c r="F43" i="48"/>
  <c r="F65" i="48"/>
  <c r="F71" i="48"/>
  <c r="E20" i="48"/>
  <c r="E26" i="48"/>
  <c r="E16" i="48"/>
  <c r="F49" i="48"/>
  <c r="M70" i="48"/>
  <c r="M69" i="48"/>
  <c r="E19" i="48"/>
  <c r="F70" i="48"/>
  <c r="E25" i="48"/>
  <c r="M50" i="48"/>
  <c r="M44" i="48"/>
  <c r="F42" i="48"/>
  <c r="F68" i="48"/>
  <c r="E14" i="48"/>
  <c r="F40" i="48"/>
  <c r="F47" i="48"/>
  <c r="M67" i="48"/>
  <c r="F46" i="48"/>
  <c r="M42" i="48"/>
  <c r="M64" i="48"/>
  <c r="F39" i="48"/>
  <c r="F74" i="48"/>
  <c r="F64" i="48"/>
  <c r="L15" i="48"/>
  <c r="M41" i="48"/>
  <c r="L22" i="48"/>
  <c r="M74" i="48"/>
  <c r="F72" i="48"/>
  <c r="M43" i="48"/>
  <c r="L17" i="48"/>
  <c r="L26" i="48"/>
  <c r="M65" i="48"/>
  <c r="M68" i="48"/>
  <c r="M52" i="48"/>
  <c r="M40" i="48"/>
  <c r="M48" i="48"/>
  <c r="M49" i="48"/>
  <c r="M71" i="48"/>
  <c r="E21" i="48"/>
  <c r="F41" i="48"/>
  <c r="F50" i="48"/>
  <c r="C111" i="48"/>
  <c r="F52" i="48"/>
  <c r="F62" i="48"/>
  <c r="F61" i="48"/>
  <c r="L23" i="48"/>
  <c r="M47" i="48"/>
  <c r="M63" i="48"/>
  <c r="F53" i="48"/>
  <c r="F63" i="48"/>
  <c r="E23" i="48"/>
  <c r="E27" i="48"/>
  <c r="E24" i="48"/>
  <c r="F45" i="48"/>
  <c r="F51" i="48"/>
  <c r="L24" i="48"/>
  <c r="M72" i="48"/>
  <c r="L14" i="48"/>
  <c r="M73" i="48"/>
  <c r="F75" i="48"/>
  <c r="B104" i="50"/>
  <c r="O24" i="53"/>
  <c r="T19" i="54"/>
  <c r="I25" i="53"/>
  <c r="X24" i="52"/>
  <c r="V16" i="54"/>
  <c r="X23" i="51"/>
  <c r="O14" i="54"/>
  <c r="T15" i="54"/>
  <c r="T23" i="54"/>
  <c r="M24" i="51"/>
  <c r="X17" i="51"/>
  <c r="K24" i="52"/>
  <c r="K10" i="51"/>
  <c r="K18" i="51"/>
  <c r="O18" i="54"/>
  <c r="M22" i="51"/>
  <c r="T16" i="52"/>
  <c r="T20" i="52"/>
  <c r="T24" i="52"/>
  <c r="O22" i="54"/>
  <c r="O11" i="51"/>
  <c r="V15" i="51"/>
  <c r="V17" i="51"/>
  <c r="V20" i="51"/>
  <c r="T22" i="51"/>
  <c r="V8" i="52"/>
  <c r="V9" i="52"/>
  <c r="V10" i="52"/>
  <c r="V12" i="52"/>
  <c r="V13" i="52"/>
  <c r="V14" i="52"/>
  <c r="V16" i="52"/>
  <c r="V17" i="52"/>
  <c r="V18" i="52"/>
  <c r="V19" i="52"/>
  <c r="O20" i="52"/>
  <c r="V20" i="52"/>
  <c r="V21" i="52"/>
  <c r="O22" i="52"/>
  <c r="V22" i="52"/>
  <c r="V23" i="52"/>
  <c r="O24" i="52"/>
  <c r="V24" i="52"/>
  <c r="K14" i="52"/>
  <c r="K16" i="52"/>
  <c r="K18" i="52"/>
  <c r="V10" i="54"/>
  <c r="V12" i="54"/>
  <c r="V14" i="54"/>
  <c r="V15" i="54"/>
  <c r="V18" i="54"/>
  <c r="V19" i="54"/>
  <c r="V22" i="54"/>
  <c r="V25" i="54"/>
  <c r="V10" i="53"/>
  <c r="V11" i="53"/>
  <c r="V15" i="53"/>
  <c r="V19" i="53"/>
  <c r="V20" i="53"/>
  <c r="T23" i="51"/>
  <c r="K8" i="54"/>
  <c r="X10" i="54"/>
  <c r="K14" i="54"/>
  <c r="X14" i="54"/>
  <c r="X16" i="54"/>
  <c r="K18" i="54"/>
  <c r="X18" i="54"/>
  <c r="X22" i="54"/>
  <c r="X8" i="53"/>
  <c r="X12" i="53"/>
  <c r="X21" i="52"/>
  <c r="X23" i="52"/>
  <c r="X11" i="51"/>
  <c r="X15" i="51"/>
  <c r="X21" i="51"/>
  <c r="O8" i="52"/>
  <c r="K9" i="52"/>
  <c r="O10" i="52"/>
  <c r="K11" i="52"/>
  <c r="K13" i="52"/>
  <c r="O14" i="52"/>
  <c r="K15" i="52"/>
  <c r="T15" i="52"/>
  <c r="K17" i="52"/>
  <c r="O18" i="52"/>
  <c r="K19" i="52"/>
  <c r="K23" i="52"/>
  <c r="K17" i="54"/>
  <c r="K21" i="54"/>
  <c r="K23" i="54"/>
  <c r="K19" i="54"/>
  <c r="K25" i="54"/>
  <c r="K9" i="53"/>
  <c r="O12" i="53"/>
  <c r="T17" i="53"/>
  <c r="K19" i="53"/>
  <c r="M17" i="52"/>
  <c r="T19" i="52"/>
  <c r="M21" i="52"/>
  <c r="M21" i="53"/>
  <c r="K15" i="54"/>
  <c r="K20" i="52"/>
  <c r="M19" i="53"/>
  <c r="M61" i="48"/>
  <c r="M39" i="48"/>
  <c r="I17" i="51"/>
  <c r="K23" i="53"/>
  <c r="M17" i="54"/>
  <c r="M21" i="54"/>
  <c r="K11" i="54"/>
  <c r="K21" i="53"/>
  <c r="K25" i="53"/>
  <c r="B105" i="49"/>
  <c r="M9" i="54"/>
  <c r="T9" i="54"/>
  <c r="M11" i="54"/>
  <c r="M12" i="54"/>
  <c r="T13" i="54"/>
  <c r="M15" i="54"/>
  <c r="O16" i="54"/>
  <c r="T17" i="54"/>
  <c r="M19" i="54"/>
  <c r="M20" i="54"/>
  <c r="T21" i="54"/>
  <c r="M23" i="54"/>
  <c r="M24" i="54"/>
  <c r="T25" i="54"/>
  <c r="I10" i="53"/>
  <c r="I14" i="53"/>
  <c r="T15" i="53"/>
  <c r="I18" i="53"/>
  <c r="O22" i="53"/>
  <c r="M25" i="53"/>
  <c r="T11" i="51"/>
  <c r="O12" i="51"/>
  <c r="O14" i="51"/>
  <c r="T15" i="51"/>
  <c r="T19" i="51"/>
  <c r="V9" i="54"/>
  <c r="K10" i="54"/>
  <c r="V13" i="54"/>
  <c r="T14" i="54"/>
  <c r="K8" i="52"/>
  <c r="V11" i="52"/>
  <c r="M13" i="52"/>
  <c r="C111" i="50"/>
  <c r="R17" i="51"/>
  <c r="T10" i="54"/>
  <c r="M11" i="53"/>
  <c r="T11" i="54"/>
  <c r="T18" i="51"/>
  <c r="V17" i="54"/>
  <c r="V21" i="54"/>
  <c r="V15" i="52"/>
  <c r="T23" i="52"/>
  <c r="R11" i="54"/>
  <c r="K8" i="51"/>
  <c r="X14" i="51"/>
  <c r="X18" i="51"/>
  <c r="I22" i="51"/>
  <c r="T12" i="52"/>
  <c r="V11" i="54"/>
  <c r="R11" i="52"/>
  <c r="R19" i="52"/>
  <c r="K21" i="52"/>
  <c r="I8" i="54"/>
  <c r="B103" i="49"/>
  <c r="C104" i="50"/>
  <c r="T16" i="51"/>
  <c r="X12" i="52"/>
  <c r="X16" i="52"/>
  <c r="X20" i="52"/>
  <c r="R10" i="54"/>
  <c r="X12" i="51"/>
  <c r="M17" i="51"/>
  <c r="O12" i="54"/>
  <c r="K12" i="52"/>
  <c r="C104" i="48"/>
  <c r="M8" i="51"/>
  <c r="K9" i="51"/>
  <c r="I11" i="51"/>
  <c r="K21" i="51"/>
  <c r="M8" i="52"/>
  <c r="O9" i="52"/>
  <c r="T10" i="52"/>
  <c r="I11" i="52"/>
  <c r="X11" i="52"/>
  <c r="M12" i="52"/>
  <c r="I13" i="52"/>
  <c r="T14" i="52"/>
  <c r="I15" i="52"/>
  <c r="X15" i="52"/>
  <c r="M16" i="52"/>
  <c r="I17" i="52"/>
  <c r="T18" i="52"/>
  <c r="I19" i="52"/>
  <c r="X19" i="52"/>
  <c r="M20" i="52"/>
  <c r="O21" i="52"/>
  <c r="T22" i="52"/>
  <c r="M24" i="52"/>
  <c r="X15" i="54"/>
  <c r="V8" i="54"/>
  <c r="X9" i="54"/>
  <c r="K13" i="54"/>
  <c r="V20" i="54"/>
  <c r="T13" i="51"/>
  <c r="I18" i="51"/>
  <c r="T21" i="51"/>
  <c r="I24" i="51"/>
  <c r="I10" i="52"/>
  <c r="X10" i="52"/>
  <c r="I14" i="52"/>
  <c r="X14" i="52"/>
  <c r="X18" i="52"/>
  <c r="X22" i="52"/>
  <c r="O9" i="54"/>
  <c r="X12" i="54"/>
  <c r="O13" i="54"/>
  <c r="X10" i="53"/>
  <c r="K14" i="51"/>
  <c r="M14" i="51"/>
  <c r="M8" i="54"/>
  <c r="X11" i="54"/>
  <c r="O10" i="51"/>
  <c r="R8" i="51"/>
  <c r="O9" i="51"/>
  <c r="K12" i="51"/>
  <c r="T12" i="51"/>
  <c r="K20" i="51"/>
  <c r="X20" i="51"/>
  <c r="O21" i="51"/>
  <c r="K24" i="51"/>
  <c r="X24" i="51"/>
  <c r="K10" i="52"/>
  <c r="T11" i="52"/>
  <c r="K22" i="52"/>
  <c r="I24" i="52"/>
  <c r="O8" i="51"/>
  <c r="V11" i="51"/>
  <c r="V19" i="51"/>
  <c r="X8" i="52"/>
  <c r="R10" i="52"/>
  <c r="O13" i="52"/>
  <c r="T12" i="54"/>
  <c r="M16" i="51"/>
  <c r="O10" i="53"/>
  <c r="I22" i="53"/>
  <c r="O8" i="54"/>
  <c r="R12" i="51"/>
  <c r="R14" i="51"/>
  <c r="O15" i="51"/>
  <c r="R16" i="51"/>
  <c r="V21" i="51"/>
  <c r="O23" i="51"/>
  <c r="K22" i="53"/>
  <c r="I16" i="54"/>
  <c r="I20" i="54"/>
  <c r="I24" i="54"/>
  <c r="X8" i="54"/>
  <c r="O10" i="54"/>
  <c r="X9" i="52"/>
  <c r="I8" i="52"/>
  <c r="I12" i="52"/>
  <c r="T13" i="52"/>
  <c r="I16" i="52"/>
  <c r="I20" i="52"/>
  <c r="M22" i="53"/>
  <c r="I12" i="54"/>
  <c r="K16" i="54"/>
  <c r="K20" i="54"/>
  <c r="O24" i="54"/>
  <c r="R8" i="53"/>
  <c r="K10" i="53"/>
  <c r="R12" i="53"/>
  <c r="V13" i="53"/>
  <c r="K14" i="53"/>
  <c r="V14" i="53"/>
  <c r="R16" i="53"/>
  <c r="K18" i="53"/>
  <c r="V22" i="53"/>
  <c r="R20" i="51"/>
  <c r="T17" i="52"/>
  <c r="K12" i="54"/>
  <c r="M16" i="54"/>
  <c r="O20" i="54"/>
  <c r="T8" i="53"/>
  <c r="X9" i="53"/>
  <c r="M10" i="53"/>
  <c r="T12" i="53"/>
  <c r="X13" i="53"/>
  <c r="K15" i="53"/>
  <c r="X17" i="53"/>
  <c r="T20" i="51"/>
  <c r="I10" i="51"/>
  <c r="M13" i="51"/>
  <c r="X16" i="51"/>
  <c r="X17" i="52"/>
  <c r="T21" i="52"/>
  <c r="M10" i="52"/>
  <c r="M14" i="52"/>
  <c r="M18" i="52"/>
  <c r="M22" i="52"/>
  <c r="V8" i="53"/>
  <c r="V12" i="53"/>
  <c r="V16" i="53"/>
  <c r="O18" i="53"/>
  <c r="V24" i="53"/>
  <c r="X13" i="52"/>
  <c r="O14" i="53"/>
  <c r="I11" i="53"/>
  <c r="X14" i="53"/>
  <c r="R22" i="53"/>
  <c r="K11" i="53"/>
  <c r="I15" i="53"/>
  <c r="V22" i="51"/>
  <c r="R24" i="51"/>
  <c r="O12" i="52"/>
  <c r="O16" i="52"/>
  <c r="V9" i="53"/>
  <c r="T18" i="53"/>
  <c r="R20" i="53"/>
  <c r="T23" i="53"/>
  <c r="X24" i="53"/>
  <c r="V18" i="53"/>
  <c r="T20" i="53"/>
  <c r="R21" i="53"/>
  <c r="K24" i="54"/>
  <c r="M25" i="54"/>
  <c r="V24" i="51"/>
  <c r="X16" i="53"/>
  <c r="M18" i="53"/>
  <c r="X18" i="53"/>
  <c r="T21" i="53"/>
  <c r="O23" i="53"/>
  <c r="O18" i="51"/>
  <c r="V21" i="53"/>
  <c r="X11" i="53"/>
  <c r="M15" i="53"/>
  <c r="O16" i="53"/>
  <c r="O17" i="53"/>
  <c r="T19" i="53"/>
  <c r="X20" i="53"/>
  <c r="O25" i="53"/>
  <c r="T14" i="51"/>
  <c r="O13" i="53"/>
  <c r="O15" i="53"/>
  <c r="M16" i="53"/>
  <c r="V10" i="51"/>
  <c r="R15" i="51"/>
  <c r="O20" i="51"/>
  <c r="O24" i="51"/>
  <c r="O17" i="52"/>
  <c r="R9" i="53"/>
  <c r="O11" i="53"/>
  <c r="M12" i="53"/>
  <c r="T25" i="53"/>
  <c r="T17" i="51"/>
  <c r="X22" i="51"/>
  <c r="T9" i="53"/>
  <c r="T13" i="53"/>
  <c r="T16" i="53"/>
  <c r="M20" i="53"/>
  <c r="V25" i="53"/>
  <c r="B105" i="50"/>
  <c r="X19" i="51"/>
  <c r="V8" i="51"/>
  <c r="X9" i="51"/>
  <c r="R11" i="51"/>
  <c r="V12" i="51"/>
  <c r="K13" i="51"/>
  <c r="R13" i="51"/>
  <c r="V16" i="51"/>
  <c r="K17" i="51"/>
  <c r="R19" i="51"/>
  <c r="R21" i="51"/>
  <c r="O22" i="51"/>
  <c r="R23" i="51"/>
  <c r="I9" i="52"/>
  <c r="T8" i="52"/>
  <c r="O11" i="52"/>
  <c r="O15" i="52"/>
  <c r="O19" i="52"/>
  <c r="O23" i="52"/>
  <c r="R15" i="52"/>
  <c r="R23" i="52"/>
  <c r="M9" i="53"/>
  <c r="K12" i="53"/>
  <c r="M13" i="53"/>
  <c r="K16" i="53"/>
  <c r="M17" i="53"/>
  <c r="B111" i="50"/>
  <c r="X8" i="51"/>
  <c r="R10" i="51"/>
  <c r="O13" i="51"/>
  <c r="K16" i="51"/>
  <c r="O17" i="51"/>
  <c r="R18" i="51"/>
  <c r="R22" i="51"/>
  <c r="V23" i="51"/>
  <c r="M9" i="52"/>
  <c r="M9" i="51"/>
  <c r="T10" i="51"/>
  <c r="M12" i="51"/>
  <c r="M20" i="51"/>
  <c r="M21" i="51"/>
  <c r="V14" i="51"/>
  <c r="O16" i="51"/>
  <c r="V18" i="51"/>
  <c r="C111" i="49"/>
  <c r="I8" i="51"/>
  <c r="X10" i="51"/>
  <c r="I12" i="51"/>
  <c r="I14" i="51"/>
  <c r="I20" i="51"/>
  <c r="K22" i="51"/>
  <c r="M10" i="51"/>
  <c r="M18" i="51"/>
  <c r="R8" i="52"/>
  <c r="R9" i="52"/>
  <c r="R13" i="52"/>
  <c r="R17" i="52"/>
  <c r="R21" i="52"/>
  <c r="T9" i="52"/>
  <c r="M11" i="52"/>
  <c r="M15" i="52"/>
  <c r="M19" i="52"/>
  <c r="M23" i="52"/>
  <c r="B104" i="49"/>
  <c r="C104" i="49"/>
  <c r="I9" i="51"/>
  <c r="I21" i="51"/>
  <c r="T8" i="51"/>
  <c r="I13" i="51"/>
  <c r="X13" i="51"/>
  <c r="I15" i="51"/>
  <c r="O19" i="51"/>
  <c r="T24" i="51"/>
  <c r="B111" i="48"/>
  <c r="R9" i="51"/>
  <c r="V13" i="51"/>
  <c r="T9" i="51"/>
  <c r="V9" i="51"/>
  <c r="K11" i="51"/>
  <c r="K15" i="51"/>
  <c r="K19" i="51"/>
  <c r="K23" i="51"/>
  <c r="B111" i="49"/>
  <c r="M11" i="51"/>
  <c r="M15" i="51"/>
  <c r="M19" i="51"/>
  <c r="M23" i="51"/>
  <c r="C105" i="50"/>
  <c r="B109" i="50"/>
  <c r="C109" i="50"/>
  <c r="B103" i="50"/>
  <c r="B110" i="50"/>
  <c r="C103" i="50"/>
  <c r="C110" i="50"/>
  <c r="C105" i="49"/>
  <c r="B104" i="48"/>
  <c r="B109" i="49"/>
  <c r="C109" i="49"/>
  <c r="B110" i="49"/>
  <c r="C103" i="49"/>
  <c r="C110" i="49"/>
  <c r="B105" i="48"/>
  <c r="C105" i="48"/>
  <c r="B109" i="48"/>
  <c r="C109" i="48"/>
  <c r="B103" i="48"/>
  <c r="B110" i="48"/>
  <c r="C103" i="48"/>
  <c r="C110" i="48"/>
  <c r="O85" i="44"/>
  <c r="O91" i="44"/>
  <c r="O86" i="44"/>
  <c r="O94" i="44"/>
  <c r="O95" i="44"/>
  <c r="O97" i="44"/>
  <c r="O90" i="44"/>
  <c r="O84" i="44"/>
  <c r="O83" i="44"/>
  <c r="O96" i="44"/>
  <c r="O82" i="44"/>
  <c r="O92" i="44"/>
  <c r="O89" i="44"/>
  <c r="O88" i="44"/>
  <c r="O93" i="44"/>
  <c r="O81" i="44"/>
  <c r="O87" i="44"/>
  <c r="K85" i="44"/>
  <c r="K93" i="44"/>
  <c r="K97" i="44"/>
  <c r="K84" i="44"/>
  <c r="K83" i="44"/>
  <c r="K96" i="44"/>
  <c r="K82" i="44"/>
  <c r="K94" i="44"/>
  <c r="K95" i="44"/>
  <c r="K92" i="44"/>
  <c r="K91" i="44"/>
  <c r="K90" i="44"/>
  <c r="K89" i="44"/>
  <c r="K88" i="44"/>
  <c r="K87" i="44"/>
  <c r="K81" i="44"/>
  <c r="K86" i="44"/>
  <c r="G95" i="44"/>
  <c r="G91" i="44"/>
  <c r="G88" i="44"/>
  <c r="G81" i="44"/>
  <c r="G94" i="44"/>
  <c r="G89" i="44"/>
  <c r="G83" i="44"/>
  <c r="G87" i="44"/>
  <c r="G93" i="44"/>
  <c r="G84" i="44"/>
  <c r="G96" i="44"/>
  <c r="G97" i="44"/>
  <c r="G86" i="44"/>
  <c r="G82" i="44"/>
  <c r="G85" i="44"/>
  <c r="G90" i="44"/>
  <c r="G98" i="44"/>
  <c r="G92" i="44"/>
  <c r="C87" i="44" l="1"/>
  <c r="C97" i="44"/>
  <c r="C82" i="44"/>
  <c r="C98" i="44"/>
  <c r="C95" i="44"/>
  <c r="C88" i="44"/>
  <c r="C90" i="44"/>
  <c r="C85" i="44"/>
  <c r="C81" i="44"/>
  <c r="C84" i="44"/>
  <c r="C89" i="44"/>
  <c r="C93" i="44"/>
  <c r="C92" i="44"/>
  <c r="C83" i="44"/>
  <c r="C91" i="44"/>
  <c r="C86" i="44"/>
  <c r="C94" i="44"/>
  <c r="C96" i="44"/>
  <c r="L62" i="44"/>
  <c r="L67" i="44"/>
  <c r="L68" i="44"/>
  <c r="L72" i="44"/>
  <c r="L65" i="44"/>
  <c r="L69" i="44"/>
  <c r="L64" i="44"/>
  <c r="L61" i="44"/>
  <c r="L60" i="44"/>
  <c r="L70" i="44"/>
  <c r="L59" i="44"/>
  <c r="L71" i="44"/>
  <c r="L63" i="44"/>
  <c r="L74" i="44"/>
  <c r="L66" i="44"/>
  <c r="L58" i="44"/>
  <c r="L73" i="44"/>
  <c r="E64" i="44"/>
  <c r="E73" i="44"/>
  <c r="E71" i="44"/>
  <c r="E59" i="44"/>
  <c r="E66" i="44"/>
  <c r="E65" i="44"/>
  <c r="E60" i="44"/>
  <c r="E63" i="44"/>
  <c r="E72" i="44"/>
  <c r="E61" i="44"/>
  <c r="E62" i="44"/>
  <c r="E69" i="44"/>
  <c r="E58" i="44"/>
  <c r="E68" i="44"/>
  <c r="E67" i="44"/>
  <c r="E74" i="44"/>
  <c r="E75" i="44"/>
  <c r="E70" i="44"/>
  <c r="K62" i="44"/>
  <c r="K67" i="44"/>
  <c r="K68" i="44"/>
  <c r="K72" i="44"/>
  <c r="K65" i="44"/>
  <c r="K69" i="44"/>
  <c r="K64" i="44"/>
  <c r="K61" i="44"/>
  <c r="K60" i="44"/>
  <c r="K70" i="44"/>
  <c r="K59" i="44"/>
  <c r="K71" i="44"/>
  <c r="K63" i="44"/>
  <c r="K74" i="44"/>
  <c r="K66" i="44"/>
  <c r="K58" i="44"/>
  <c r="K73" i="44"/>
  <c r="D64" i="44"/>
  <c r="D73" i="44"/>
  <c r="D71" i="44"/>
  <c r="D59" i="44"/>
  <c r="D66" i="44"/>
  <c r="D65" i="44"/>
  <c r="D60" i="44"/>
  <c r="D63" i="44"/>
  <c r="D72" i="44"/>
  <c r="D61" i="44"/>
  <c r="D62" i="44"/>
  <c r="D69" i="44"/>
  <c r="D58" i="44"/>
  <c r="D68" i="44"/>
  <c r="D67" i="44"/>
  <c r="D74" i="44"/>
  <c r="D75" i="44"/>
  <c r="D70" i="44"/>
  <c r="J62" i="44"/>
  <c r="M62" i="44" s="1"/>
  <c r="J67" i="44"/>
  <c r="J68" i="44"/>
  <c r="J72" i="44"/>
  <c r="J65" i="44"/>
  <c r="J69" i="44"/>
  <c r="J64" i="44"/>
  <c r="J61" i="44"/>
  <c r="M61" i="44" s="1"/>
  <c r="J60" i="44"/>
  <c r="M60" i="44" s="1"/>
  <c r="J70" i="44"/>
  <c r="J59" i="44"/>
  <c r="M59" i="44" s="1"/>
  <c r="J71" i="44"/>
  <c r="J63" i="44"/>
  <c r="J74" i="44"/>
  <c r="J66" i="44"/>
  <c r="J58" i="44"/>
  <c r="M58" i="44" s="1"/>
  <c r="J73" i="44"/>
  <c r="C64" i="44"/>
  <c r="C73" i="44"/>
  <c r="C71" i="44"/>
  <c r="C59" i="44"/>
  <c r="F59" i="44" s="1"/>
  <c r="C66" i="44"/>
  <c r="C65" i="44"/>
  <c r="C60" i="44"/>
  <c r="F60" i="44" s="1"/>
  <c r="C63" i="44"/>
  <c r="C72" i="44"/>
  <c r="C61" i="44"/>
  <c r="F61" i="44" s="1"/>
  <c r="C62" i="44"/>
  <c r="F62" i="44" s="1"/>
  <c r="C69" i="44"/>
  <c r="C58" i="44"/>
  <c r="F58" i="44" s="1"/>
  <c r="C68" i="44"/>
  <c r="C67" i="44"/>
  <c r="C74" i="44"/>
  <c r="C75" i="44"/>
  <c r="C70" i="44"/>
  <c r="E52" i="44"/>
  <c r="D52" i="44"/>
  <c r="C52" i="44"/>
  <c r="E44" i="44"/>
  <c r="D44" i="44"/>
  <c r="C44" i="44"/>
  <c r="E53" i="44"/>
  <c r="D53" i="44"/>
  <c r="C53" i="44"/>
  <c r="E50" i="44"/>
  <c r="D50" i="44"/>
  <c r="C50" i="44"/>
  <c r="E37" i="44"/>
  <c r="D37" i="44"/>
  <c r="C37" i="44"/>
  <c r="F37" i="44" s="1"/>
  <c r="E51" i="44"/>
  <c r="D51" i="44"/>
  <c r="C51" i="44"/>
  <c r="E49" i="44"/>
  <c r="D49" i="44"/>
  <c r="C49" i="44"/>
  <c r="E42" i="44"/>
  <c r="D42" i="44"/>
  <c r="C42" i="44"/>
  <c r="E43" i="44"/>
  <c r="D43" i="44"/>
  <c r="C43" i="44"/>
  <c r="E39" i="44"/>
  <c r="D39" i="44"/>
  <c r="C39" i="44"/>
  <c r="F39" i="44" s="1"/>
  <c r="E36" i="44"/>
  <c r="D36" i="44"/>
  <c r="C36" i="44"/>
  <c r="F36" i="44" s="1"/>
  <c r="E40" i="44"/>
  <c r="D40" i="44"/>
  <c r="C40" i="44"/>
  <c r="E46" i="44"/>
  <c r="D46" i="44"/>
  <c r="C46" i="44"/>
  <c r="E41" i="44"/>
  <c r="D41" i="44"/>
  <c r="C41" i="44"/>
  <c r="E45" i="44"/>
  <c r="D45" i="44"/>
  <c r="C45" i="44"/>
  <c r="E48" i="44"/>
  <c r="D48" i="44"/>
  <c r="C48" i="44"/>
  <c r="E38" i="44"/>
  <c r="D38" i="44"/>
  <c r="C38" i="44"/>
  <c r="F38" i="44" s="1"/>
  <c r="E47" i="44"/>
  <c r="D47" i="44"/>
  <c r="C47" i="44"/>
  <c r="L40" i="44"/>
  <c r="L46" i="44"/>
  <c r="L48" i="44"/>
  <c r="L52" i="44"/>
  <c r="L45" i="44"/>
  <c r="L41" i="44"/>
  <c r="L50" i="44"/>
  <c r="L39" i="44"/>
  <c r="L38" i="44"/>
  <c r="L49" i="44"/>
  <c r="L37" i="44"/>
  <c r="L43" i="44"/>
  <c r="L36" i="44"/>
  <c r="L44" i="44"/>
  <c r="L42" i="44"/>
  <c r="L51" i="44"/>
  <c r="L47" i="44"/>
  <c r="K40" i="44"/>
  <c r="K46" i="44"/>
  <c r="K48" i="44"/>
  <c r="K52" i="44"/>
  <c r="K45" i="44"/>
  <c r="K41" i="44"/>
  <c r="K50" i="44"/>
  <c r="K39" i="44"/>
  <c r="K38" i="44"/>
  <c r="K49" i="44"/>
  <c r="K37" i="44"/>
  <c r="K43" i="44"/>
  <c r="K36" i="44"/>
  <c r="K44" i="44"/>
  <c r="K42" i="44"/>
  <c r="K51" i="44"/>
  <c r="K47" i="44"/>
  <c r="J40" i="44"/>
  <c r="M40" i="44" s="1"/>
  <c r="J46" i="44"/>
  <c r="J48" i="44"/>
  <c r="J52" i="44"/>
  <c r="J45" i="44"/>
  <c r="J41" i="44"/>
  <c r="J50" i="44"/>
  <c r="J39" i="44"/>
  <c r="M39" i="44" s="1"/>
  <c r="J38" i="44"/>
  <c r="M38" i="44" s="1"/>
  <c r="J49" i="44"/>
  <c r="J37" i="44"/>
  <c r="M37" i="44" s="1"/>
  <c r="J43" i="44"/>
  <c r="J36" i="44"/>
  <c r="M36" i="44" s="1"/>
  <c r="J44" i="44"/>
  <c r="J42" i="44"/>
  <c r="J51" i="44"/>
  <c r="J47" i="44"/>
  <c r="D27" i="44"/>
  <c r="C27" i="44"/>
  <c r="D10" i="44"/>
  <c r="C10" i="44"/>
  <c r="D15" i="44"/>
  <c r="C15" i="44"/>
  <c r="D23" i="44"/>
  <c r="C23" i="44"/>
  <c r="D11" i="44"/>
  <c r="C11" i="44"/>
  <c r="D22" i="44"/>
  <c r="C22" i="44"/>
  <c r="D25" i="44"/>
  <c r="C25" i="44"/>
  <c r="D13" i="44"/>
  <c r="C13" i="44"/>
  <c r="D21" i="44"/>
  <c r="C21" i="44"/>
  <c r="D14" i="44"/>
  <c r="C14" i="44"/>
  <c r="D12" i="44"/>
  <c r="C12" i="44"/>
  <c r="D26" i="44"/>
  <c r="C26" i="44"/>
  <c r="D16" i="44"/>
  <c r="C16" i="44"/>
  <c r="D17" i="44"/>
  <c r="C17" i="44"/>
  <c r="D24" i="44"/>
  <c r="C24" i="44"/>
  <c r="D19" i="44"/>
  <c r="C19" i="44"/>
  <c r="D20" i="44"/>
  <c r="C20" i="44"/>
  <c r="D18" i="44"/>
  <c r="C18" i="44"/>
  <c r="K16" i="44"/>
  <c r="J16" i="44"/>
  <c r="K10" i="44"/>
  <c r="J10" i="44"/>
  <c r="K11" i="44"/>
  <c r="J11" i="44"/>
  <c r="K17" i="44"/>
  <c r="J17" i="44"/>
  <c r="K21" i="44"/>
  <c r="J21" i="44"/>
  <c r="K12" i="44"/>
  <c r="J12" i="44"/>
  <c r="K18" i="44"/>
  <c r="J18" i="44"/>
  <c r="K13" i="44"/>
  <c r="J13" i="44"/>
  <c r="K19" i="44"/>
  <c r="J19" i="44"/>
  <c r="K22" i="44"/>
  <c r="J22" i="44"/>
  <c r="K20" i="44"/>
  <c r="J20" i="44"/>
  <c r="K26" i="44"/>
  <c r="J26" i="44"/>
  <c r="K15" i="44"/>
  <c r="J15" i="44"/>
  <c r="K14" i="44"/>
  <c r="J14" i="44"/>
  <c r="K25" i="44"/>
  <c r="J25" i="44"/>
  <c r="K23" i="44"/>
  <c r="J23" i="44"/>
  <c r="AA25" i="47"/>
  <c r="Z25" i="47"/>
  <c r="Y25" i="47"/>
  <c r="W25" i="47"/>
  <c r="U25" i="47"/>
  <c r="S25" i="47"/>
  <c r="Q25" i="47"/>
  <c r="P25" i="47"/>
  <c r="N25" i="47"/>
  <c r="L25" i="47"/>
  <c r="J25" i="47"/>
  <c r="H25" i="47"/>
  <c r="G25" i="47"/>
  <c r="F25" i="47"/>
  <c r="AA24" i="47"/>
  <c r="Z24" i="47"/>
  <c r="Y24" i="47"/>
  <c r="W24" i="47"/>
  <c r="U24" i="47"/>
  <c r="S24" i="47"/>
  <c r="Q24" i="47"/>
  <c r="P24" i="47"/>
  <c r="N24" i="47"/>
  <c r="L24" i="47"/>
  <c r="J24" i="47"/>
  <c r="H24" i="47"/>
  <c r="G24" i="47"/>
  <c r="F24" i="47"/>
  <c r="AA23" i="47"/>
  <c r="Z23" i="47"/>
  <c r="Y23" i="47"/>
  <c r="W23" i="47"/>
  <c r="U23" i="47"/>
  <c r="S23" i="47"/>
  <c r="Q23" i="47"/>
  <c r="P23" i="47"/>
  <c r="N23" i="47"/>
  <c r="L23" i="47"/>
  <c r="J23" i="47"/>
  <c r="H23" i="47"/>
  <c r="G23" i="47"/>
  <c r="F23" i="47"/>
  <c r="AA22" i="47"/>
  <c r="Z22" i="47"/>
  <c r="Y22" i="47"/>
  <c r="W22" i="47"/>
  <c r="U22" i="47"/>
  <c r="S22" i="47"/>
  <c r="Q22" i="47"/>
  <c r="P22" i="47"/>
  <c r="N22" i="47"/>
  <c r="L22" i="47"/>
  <c r="J22" i="47"/>
  <c r="H22" i="47"/>
  <c r="G22" i="47"/>
  <c r="F22" i="47"/>
  <c r="AA21" i="47"/>
  <c r="Z21" i="47"/>
  <c r="Y21" i="47"/>
  <c r="W21" i="47"/>
  <c r="U21" i="47"/>
  <c r="S21" i="47"/>
  <c r="Q21" i="47"/>
  <c r="P21" i="47"/>
  <c r="N21" i="47"/>
  <c r="L21" i="47"/>
  <c r="J21" i="47"/>
  <c r="H21" i="47"/>
  <c r="G21" i="47"/>
  <c r="F21" i="47"/>
  <c r="AA20" i="47"/>
  <c r="Z20" i="47"/>
  <c r="Y20" i="47"/>
  <c r="W20" i="47"/>
  <c r="U20" i="47"/>
  <c r="S20" i="47"/>
  <c r="Q20" i="47"/>
  <c r="P20" i="47"/>
  <c r="N20" i="47"/>
  <c r="L20" i="47"/>
  <c r="J20" i="47"/>
  <c r="H20" i="47"/>
  <c r="G20" i="47"/>
  <c r="F20" i="47"/>
  <c r="AA19" i="47"/>
  <c r="Z19" i="47"/>
  <c r="Y19" i="47"/>
  <c r="W19" i="47"/>
  <c r="U19" i="47"/>
  <c r="S19" i="47"/>
  <c r="Q19" i="47"/>
  <c r="P19" i="47"/>
  <c r="N19" i="47"/>
  <c r="L19" i="47"/>
  <c r="J19" i="47"/>
  <c r="H19" i="47"/>
  <c r="G19" i="47"/>
  <c r="F19" i="47"/>
  <c r="AA18" i="47"/>
  <c r="Z18" i="47"/>
  <c r="Y18" i="47"/>
  <c r="W18" i="47"/>
  <c r="U18" i="47"/>
  <c r="S18" i="47"/>
  <c r="Q18" i="47"/>
  <c r="P18" i="47"/>
  <c r="N18" i="47"/>
  <c r="L18" i="47"/>
  <c r="J18" i="47"/>
  <c r="H18" i="47"/>
  <c r="G18" i="47"/>
  <c r="F18" i="47"/>
  <c r="AA17" i="47"/>
  <c r="Z17" i="47"/>
  <c r="Y17" i="47"/>
  <c r="W17" i="47"/>
  <c r="U17" i="47"/>
  <c r="S17" i="47"/>
  <c r="Q17" i="47"/>
  <c r="P17" i="47"/>
  <c r="N17" i="47"/>
  <c r="L17" i="47"/>
  <c r="J17" i="47"/>
  <c r="H17" i="47"/>
  <c r="G17" i="47"/>
  <c r="F17" i="47"/>
  <c r="AA16" i="47"/>
  <c r="Z16" i="47"/>
  <c r="Y16" i="47"/>
  <c r="W16" i="47"/>
  <c r="U16" i="47"/>
  <c r="S16" i="47"/>
  <c r="Q16" i="47"/>
  <c r="P16" i="47"/>
  <c r="N16" i="47"/>
  <c r="L16" i="47"/>
  <c r="J16" i="47"/>
  <c r="H16" i="47"/>
  <c r="G16" i="47"/>
  <c r="F16" i="47"/>
  <c r="AA15" i="47"/>
  <c r="Z15" i="47"/>
  <c r="Y15" i="47"/>
  <c r="W15" i="47"/>
  <c r="U15" i="47"/>
  <c r="S15" i="47"/>
  <c r="Q15" i="47"/>
  <c r="P15" i="47"/>
  <c r="N15" i="47"/>
  <c r="L15" i="47"/>
  <c r="J15" i="47"/>
  <c r="H15" i="47"/>
  <c r="G15" i="47"/>
  <c r="F15" i="47"/>
  <c r="AA14" i="47"/>
  <c r="Z14" i="47"/>
  <c r="Y14" i="47"/>
  <c r="W14" i="47"/>
  <c r="U14" i="47"/>
  <c r="S14" i="47"/>
  <c r="Q14" i="47"/>
  <c r="P14" i="47"/>
  <c r="N14" i="47"/>
  <c r="L14" i="47"/>
  <c r="J14" i="47"/>
  <c r="H14" i="47"/>
  <c r="G14" i="47"/>
  <c r="F14" i="47"/>
  <c r="AA13" i="47"/>
  <c r="Z13" i="47"/>
  <c r="Y13" i="47"/>
  <c r="W13" i="47"/>
  <c r="U13" i="47"/>
  <c r="S13" i="47"/>
  <c r="Q13" i="47"/>
  <c r="P13" i="47"/>
  <c r="N13" i="47"/>
  <c r="L13" i="47"/>
  <c r="J13" i="47"/>
  <c r="H13" i="47"/>
  <c r="G13" i="47"/>
  <c r="F13" i="47"/>
  <c r="AA12" i="47"/>
  <c r="Z12" i="47"/>
  <c r="Y12" i="47"/>
  <c r="W12" i="47"/>
  <c r="U12" i="47"/>
  <c r="S12" i="47"/>
  <c r="Q12" i="47"/>
  <c r="P12" i="47"/>
  <c r="N12" i="47"/>
  <c r="L12" i="47"/>
  <c r="J12" i="47"/>
  <c r="H12" i="47"/>
  <c r="G12" i="47"/>
  <c r="F12" i="47"/>
  <c r="AA11" i="47"/>
  <c r="Z11" i="47"/>
  <c r="Y11" i="47"/>
  <c r="W11" i="47"/>
  <c r="U11" i="47"/>
  <c r="S11" i="47"/>
  <c r="Q11" i="47"/>
  <c r="P11" i="47"/>
  <c r="N11" i="47"/>
  <c r="L11" i="47"/>
  <c r="J11" i="47"/>
  <c r="H11" i="47"/>
  <c r="G11" i="47"/>
  <c r="F11" i="47"/>
  <c r="AA10" i="47"/>
  <c r="Z10" i="47"/>
  <c r="Y10" i="47"/>
  <c r="W10" i="47"/>
  <c r="U10" i="47"/>
  <c r="S10" i="47"/>
  <c r="Q10" i="47"/>
  <c r="P10" i="47"/>
  <c r="N10" i="47"/>
  <c r="L10" i="47"/>
  <c r="J10" i="47"/>
  <c r="H10" i="47"/>
  <c r="G10" i="47"/>
  <c r="F10" i="47"/>
  <c r="AA9" i="47"/>
  <c r="Z9" i="47"/>
  <c r="Y9" i="47"/>
  <c r="W9" i="47"/>
  <c r="U9" i="47"/>
  <c r="S9" i="47"/>
  <c r="Q9" i="47"/>
  <c r="P9" i="47"/>
  <c r="N9" i="47"/>
  <c r="L9" i="47"/>
  <c r="J9" i="47"/>
  <c r="H9" i="47"/>
  <c r="G9" i="47"/>
  <c r="F9" i="47"/>
  <c r="AA8" i="47"/>
  <c r="Z8" i="47"/>
  <c r="Y8" i="47"/>
  <c r="W8" i="47"/>
  <c r="U8" i="47"/>
  <c r="S8" i="47"/>
  <c r="Q8" i="47"/>
  <c r="P8" i="47"/>
  <c r="N8" i="47"/>
  <c r="L8" i="47"/>
  <c r="J8" i="47"/>
  <c r="H8" i="47"/>
  <c r="G8" i="47"/>
  <c r="F8" i="47"/>
  <c r="AA24" i="46"/>
  <c r="Z24" i="46"/>
  <c r="Y24" i="46"/>
  <c r="W24" i="46"/>
  <c r="U24" i="46"/>
  <c r="S24" i="46"/>
  <c r="Q24" i="46"/>
  <c r="P24" i="46"/>
  <c r="N24" i="46"/>
  <c r="L24" i="46"/>
  <c r="J24" i="46"/>
  <c r="H24" i="46"/>
  <c r="G24" i="46"/>
  <c r="F24" i="46"/>
  <c r="AA23" i="46"/>
  <c r="Z23" i="46"/>
  <c r="Y23" i="46"/>
  <c r="W23" i="46"/>
  <c r="U23" i="46"/>
  <c r="S23" i="46"/>
  <c r="Q23" i="46"/>
  <c r="P23" i="46"/>
  <c r="N23" i="46"/>
  <c r="L23" i="46"/>
  <c r="J23" i="46"/>
  <c r="H23" i="46"/>
  <c r="G23" i="46"/>
  <c r="F23" i="46"/>
  <c r="AA22" i="46"/>
  <c r="Z22" i="46"/>
  <c r="Y22" i="46"/>
  <c r="W22" i="46"/>
  <c r="U22" i="46"/>
  <c r="S22" i="46"/>
  <c r="Q22" i="46"/>
  <c r="P22" i="46"/>
  <c r="N22" i="46"/>
  <c r="L22" i="46"/>
  <c r="J22" i="46"/>
  <c r="H22" i="46"/>
  <c r="G22" i="46"/>
  <c r="F22" i="46"/>
  <c r="AA21" i="46"/>
  <c r="Z21" i="46"/>
  <c r="Y21" i="46"/>
  <c r="W21" i="46"/>
  <c r="U21" i="46"/>
  <c r="S21" i="46"/>
  <c r="Q21" i="46"/>
  <c r="P21" i="46"/>
  <c r="N21" i="46"/>
  <c r="L21" i="46"/>
  <c r="J21" i="46"/>
  <c r="H21" i="46"/>
  <c r="G21" i="46"/>
  <c r="F21" i="46"/>
  <c r="AA20" i="46"/>
  <c r="Z20" i="46"/>
  <c r="Y20" i="46"/>
  <c r="W20" i="46"/>
  <c r="U20" i="46"/>
  <c r="S20" i="46"/>
  <c r="Q20" i="46"/>
  <c r="P20" i="46"/>
  <c r="N20" i="46"/>
  <c r="L20" i="46"/>
  <c r="J20" i="46"/>
  <c r="H20" i="46"/>
  <c r="G20" i="46"/>
  <c r="F20" i="46"/>
  <c r="AA19" i="46"/>
  <c r="Z19" i="46"/>
  <c r="Y19" i="46"/>
  <c r="W19" i="46"/>
  <c r="U19" i="46"/>
  <c r="S19" i="46"/>
  <c r="Q19" i="46"/>
  <c r="P19" i="46"/>
  <c r="N19" i="46"/>
  <c r="L19" i="46"/>
  <c r="J19" i="46"/>
  <c r="H19" i="46"/>
  <c r="G19" i="46"/>
  <c r="F19" i="46"/>
  <c r="AA17" i="46"/>
  <c r="Z17" i="46"/>
  <c r="Y17" i="46"/>
  <c r="W17" i="46"/>
  <c r="U17" i="46"/>
  <c r="S17" i="46"/>
  <c r="Q17" i="46"/>
  <c r="P17" i="46"/>
  <c r="N17" i="46"/>
  <c r="L17" i="46"/>
  <c r="J17" i="46"/>
  <c r="H17" i="46"/>
  <c r="G17" i="46"/>
  <c r="F17" i="46"/>
  <c r="AA16" i="46"/>
  <c r="Z16" i="46"/>
  <c r="Y16" i="46"/>
  <c r="W16" i="46"/>
  <c r="U16" i="46"/>
  <c r="S16" i="46"/>
  <c r="Q16" i="46"/>
  <c r="P16" i="46"/>
  <c r="N16" i="46"/>
  <c r="L16" i="46"/>
  <c r="J16" i="46"/>
  <c r="H16" i="46"/>
  <c r="G16" i="46"/>
  <c r="F16" i="46"/>
  <c r="AA15" i="46"/>
  <c r="Z15" i="46"/>
  <c r="Y15" i="46"/>
  <c r="W15" i="46"/>
  <c r="U15" i="46"/>
  <c r="S15" i="46"/>
  <c r="Q15" i="46"/>
  <c r="P15" i="46"/>
  <c r="N15" i="46"/>
  <c r="L15" i="46"/>
  <c r="J15" i="46"/>
  <c r="H15" i="46"/>
  <c r="G15" i="46"/>
  <c r="F15" i="46"/>
  <c r="AA14" i="46"/>
  <c r="Z14" i="46"/>
  <c r="Y14" i="46"/>
  <c r="W14" i="46"/>
  <c r="U14" i="46"/>
  <c r="S14" i="46"/>
  <c r="Q14" i="46"/>
  <c r="P14" i="46"/>
  <c r="N14" i="46"/>
  <c r="L14" i="46"/>
  <c r="J14" i="46"/>
  <c r="H14" i="46"/>
  <c r="G14" i="46"/>
  <c r="F14" i="46"/>
  <c r="AA13" i="46"/>
  <c r="Z13" i="46"/>
  <c r="Y13" i="46"/>
  <c r="W13" i="46"/>
  <c r="U13" i="46"/>
  <c r="S13" i="46"/>
  <c r="Q13" i="46"/>
  <c r="P13" i="46"/>
  <c r="N13" i="46"/>
  <c r="L13" i="46"/>
  <c r="J13" i="46"/>
  <c r="H13" i="46"/>
  <c r="G13" i="46"/>
  <c r="F13" i="46"/>
  <c r="AA12" i="46"/>
  <c r="Z12" i="46"/>
  <c r="Y12" i="46"/>
  <c r="W12" i="46"/>
  <c r="U12" i="46"/>
  <c r="S12" i="46"/>
  <c r="Q12" i="46"/>
  <c r="P12" i="46"/>
  <c r="N12" i="46"/>
  <c r="L12" i="46"/>
  <c r="J12" i="46"/>
  <c r="H12" i="46"/>
  <c r="G12" i="46"/>
  <c r="F12" i="46"/>
  <c r="AA11" i="46"/>
  <c r="Z11" i="46"/>
  <c r="Y11" i="46"/>
  <c r="W11" i="46"/>
  <c r="U11" i="46"/>
  <c r="S11" i="46"/>
  <c r="Q11" i="46"/>
  <c r="P11" i="46"/>
  <c r="N11" i="46"/>
  <c r="L11" i="46"/>
  <c r="J11" i="46"/>
  <c r="H11" i="46"/>
  <c r="G11" i="46"/>
  <c r="F11" i="46"/>
  <c r="AA10" i="46"/>
  <c r="Z10" i="46"/>
  <c r="Y10" i="46"/>
  <c r="W10" i="46"/>
  <c r="U10" i="46"/>
  <c r="S10" i="46"/>
  <c r="Q10" i="46"/>
  <c r="P10" i="46"/>
  <c r="N10" i="46"/>
  <c r="L10" i="46"/>
  <c r="J10" i="46"/>
  <c r="H10" i="46"/>
  <c r="G10" i="46"/>
  <c r="F10" i="46"/>
  <c r="AA9" i="46"/>
  <c r="Z9" i="46"/>
  <c r="Y9" i="46"/>
  <c r="W9" i="46"/>
  <c r="U9" i="46"/>
  <c r="S9" i="46"/>
  <c r="Q9" i="46"/>
  <c r="P9" i="46"/>
  <c r="N9" i="46"/>
  <c r="L9" i="46"/>
  <c r="J9" i="46"/>
  <c r="H9" i="46"/>
  <c r="G9" i="46"/>
  <c r="F9" i="46"/>
  <c r="AA25" i="38"/>
  <c r="Z25" i="38"/>
  <c r="Y25" i="38"/>
  <c r="W25" i="38"/>
  <c r="U25" i="38"/>
  <c r="S25" i="38"/>
  <c r="Q25" i="38"/>
  <c r="P25" i="38"/>
  <c r="N25" i="38"/>
  <c r="L25" i="38"/>
  <c r="J25" i="38"/>
  <c r="H25" i="38"/>
  <c r="G25" i="38"/>
  <c r="F25" i="38"/>
  <c r="AA24" i="38"/>
  <c r="Z24" i="38"/>
  <c r="Y24" i="38"/>
  <c r="W24" i="38"/>
  <c r="U24" i="38"/>
  <c r="S24" i="38"/>
  <c r="Q24" i="38"/>
  <c r="P24" i="38"/>
  <c r="N24" i="38"/>
  <c r="L24" i="38"/>
  <c r="J24" i="38"/>
  <c r="H24" i="38"/>
  <c r="G24" i="38"/>
  <c r="F24" i="38"/>
  <c r="AA23" i="38"/>
  <c r="Z23" i="38"/>
  <c r="Y23" i="38"/>
  <c r="W23" i="38"/>
  <c r="U23" i="38"/>
  <c r="S23" i="38"/>
  <c r="Q23" i="38"/>
  <c r="P23" i="38"/>
  <c r="N23" i="38"/>
  <c r="L23" i="38"/>
  <c r="J23" i="38"/>
  <c r="H23" i="38"/>
  <c r="G23" i="38"/>
  <c r="F23" i="38"/>
  <c r="AA22" i="38"/>
  <c r="Z22" i="38"/>
  <c r="Y22" i="38"/>
  <c r="W22" i="38"/>
  <c r="U22" i="38"/>
  <c r="S22" i="38"/>
  <c r="Q22" i="38"/>
  <c r="P22" i="38"/>
  <c r="N22" i="38"/>
  <c r="L22" i="38"/>
  <c r="J22" i="38"/>
  <c r="H22" i="38"/>
  <c r="G22" i="38"/>
  <c r="F22" i="38"/>
  <c r="AA21" i="38"/>
  <c r="Z21" i="38"/>
  <c r="Y21" i="38"/>
  <c r="W21" i="38"/>
  <c r="U21" i="38"/>
  <c r="S21" i="38"/>
  <c r="Q21" i="38"/>
  <c r="P21" i="38"/>
  <c r="N21" i="38"/>
  <c r="L21" i="38"/>
  <c r="J21" i="38"/>
  <c r="H21" i="38"/>
  <c r="G21" i="38"/>
  <c r="F21" i="38"/>
  <c r="AA20" i="38"/>
  <c r="Z20" i="38"/>
  <c r="Y20" i="38"/>
  <c r="W20" i="38"/>
  <c r="U20" i="38"/>
  <c r="S20" i="38"/>
  <c r="Q20" i="38"/>
  <c r="P20" i="38"/>
  <c r="N20" i="38"/>
  <c r="L20" i="38"/>
  <c r="J20" i="38"/>
  <c r="H20" i="38"/>
  <c r="G20" i="38"/>
  <c r="F20" i="38"/>
  <c r="AA19" i="38"/>
  <c r="Z19" i="38"/>
  <c r="Y19" i="38"/>
  <c r="W19" i="38"/>
  <c r="U19" i="38"/>
  <c r="S19" i="38"/>
  <c r="Q19" i="38"/>
  <c r="P19" i="38"/>
  <c r="N19" i="38"/>
  <c r="L19" i="38"/>
  <c r="J19" i="38"/>
  <c r="H19" i="38"/>
  <c r="G19" i="38"/>
  <c r="F19" i="38"/>
  <c r="AA18" i="38"/>
  <c r="Z18" i="38"/>
  <c r="Y18" i="38"/>
  <c r="W18" i="38"/>
  <c r="U18" i="38"/>
  <c r="S18" i="38"/>
  <c r="Q18" i="38"/>
  <c r="P18" i="38"/>
  <c r="N18" i="38"/>
  <c r="L18" i="38"/>
  <c r="J18" i="38"/>
  <c r="H18" i="38"/>
  <c r="G18" i="38"/>
  <c r="F18" i="38"/>
  <c r="AA17" i="38"/>
  <c r="Z17" i="38"/>
  <c r="Y17" i="38"/>
  <c r="W17" i="38"/>
  <c r="U17" i="38"/>
  <c r="S17" i="38"/>
  <c r="Q17" i="38"/>
  <c r="P17" i="38"/>
  <c r="N17" i="38"/>
  <c r="L17" i="38"/>
  <c r="J17" i="38"/>
  <c r="H17" i="38"/>
  <c r="G17" i="38"/>
  <c r="F17" i="38"/>
  <c r="AA16" i="38"/>
  <c r="Z16" i="38"/>
  <c r="Y16" i="38"/>
  <c r="W16" i="38"/>
  <c r="U16" i="38"/>
  <c r="S16" i="38"/>
  <c r="Q16" i="38"/>
  <c r="P16" i="38"/>
  <c r="N16" i="38"/>
  <c r="L16" i="38"/>
  <c r="J16" i="38"/>
  <c r="H16" i="38"/>
  <c r="G16" i="38"/>
  <c r="F16" i="38"/>
  <c r="AA15" i="38"/>
  <c r="Z15" i="38"/>
  <c r="Y15" i="38"/>
  <c r="W15" i="38"/>
  <c r="U15" i="38"/>
  <c r="S15" i="38"/>
  <c r="Q15" i="38"/>
  <c r="P15" i="38"/>
  <c r="N15" i="38"/>
  <c r="L15" i="38"/>
  <c r="J15" i="38"/>
  <c r="H15" i="38"/>
  <c r="G15" i="38"/>
  <c r="F15" i="38"/>
  <c r="AA14" i="38"/>
  <c r="Z14" i="38"/>
  <c r="Y14" i="38"/>
  <c r="W14" i="38"/>
  <c r="U14" i="38"/>
  <c r="S14" i="38"/>
  <c r="Q14" i="38"/>
  <c r="P14" i="38"/>
  <c r="N14" i="38"/>
  <c r="L14" i="38"/>
  <c r="J14" i="38"/>
  <c r="H14" i="38"/>
  <c r="G14" i="38"/>
  <c r="F14" i="38"/>
  <c r="AA13" i="38"/>
  <c r="Z13" i="38"/>
  <c r="Y13" i="38"/>
  <c r="W13" i="38"/>
  <c r="U13" i="38"/>
  <c r="S13" i="38"/>
  <c r="Q13" i="38"/>
  <c r="P13" i="38"/>
  <c r="N13" i="38"/>
  <c r="L13" i="38"/>
  <c r="J13" i="38"/>
  <c r="H13" i="38"/>
  <c r="G13" i="38"/>
  <c r="F13" i="38"/>
  <c r="AA12" i="38"/>
  <c r="Z12" i="38"/>
  <c r="Y12" i="38"/>
  <c r="W12" i="38"/>
  <c r="U12" i="38"/>
  <c r="S12" i="38"/>
  <c r="Q12" i="38"/>
  <c r="P12" i="38"/>
  <c r="N12" i="38"/>
  <c r="L12" i="38"/>
  <c r="J12" i="38"/>
  <c r="H12" i="38"/>
  <c r="G12" i="38"/>
  <c r="F12" i="38"/>
  <c r="AA11" i="38"/>
  <c r="Z11" i="38"/>
  <c r="Y11" i="38"/>
  <c r="W11" i="38"/>
  <c r="U11" i="38"/>
  <c r="S11" i="38"/>
  <c r="Q11" i="38"/>
  <c r="P11" i="38"/>
  <c r="N11" i="38"/>
  <c r="L11" i="38"/>
  <c r="J11" i="38"/>
  <c r="H11" i="38"/>
  <c r="G11" i="38"/>
  <c r="F11" i="38"/>
  <c r="AA10" i="38"/>
  <c r="Z10" i="38"/>
  <c r="Y10" i="38"/>
  <c r="W10" i="38"/>
  <c r="U10" i="38"/>
  <c r="S10" i="38"/>
  <c r="Q10" i="38"/>
  <c r="P10" i="38"/>
  <c r="N10" i="38"/>
  <c r="L10" i="38"/>
  <c r="J10" i="38"/>
  <c r="H10" i="38"/>
  <c r="G10" i="38"/>
  <c r="F10" i="38"/>
  <c r="AA9" i="38"/>
  <c r="Z9" i="38"/>
  <c r="Y9" i="38"/>
  <c r="W9" i="38"/>
  <c r="U9" i="38"/>
  <c r="S9" i="38"/>
  <c r="Q9" i="38"/>
  <c r="P9" i="38"/>
  <c r="N9" i="38"/>
  <c r="L9" i="38"/>
  <c r="J9" i="38"/>
  <c r="H9" i="38"/>
  <c r="G9" i="38"/>
  <c r="F9" i="38"/>
  <c r="AA8" i="38"/>
  <c r="Z8" i="38"/>
  <c r="Y8" i="38"/>
  <c r="W8" i="38"/>
  <c r="U8" i="38"/>
  <c r="S8" i="38"/>
  <c r="Q8" i="38"/>
  <c r="P8" i="38"/>
  <c r="N8" i="38"/>
  <c r="L8" i="38"/>
  <c r="J8" i="38"/>
  <c r="H8" i="38"/>
  <c r="G8" i="38"/>
  <c r="F8" i="38"/>
  <c r="AA24" i="37"/>
  <c r="AA23" i="37"/>
  <c r="AA22" i="37"/>
  <c r="AA21" i="37"/>
  <c r="AA20" i="37"/>
  <c r="AA19" i="37"/>
  <c r="AA17" i="37"/>
  <c r="AA16" i="37"/>
  <c r="AA15" i="37"/>
  <c r="AA14" i="37"/>
  <c r="AA13" i="37"/>
  <c r="AA12" i="37"/>
  <c r="AA11" i="37"/>
  <c r="AA10" i="37"/>
  <c r="AA9" i="37"/>
  <c r="Z24" i="37"/>
  <c r="Z23" i="37"/>
  <c r="Z22" i="37"/>
  <c r="Z21" i="37"/>
  <c r="Z20" i="37"/>
  <c r="Z19" i="37"/>
  <c r="Z17" i="37"/>
  <c r="Z16" i="37"/>
  <c r="Z15" i="37"/>
  <c r="Z14" i="37"/>
  <c r="Z13" i="37"/>
  <c r="Z12" i="37"/>
  <c r="Z11" i="37"/>
  <c r="Z10" i="37"/>
  <c r="Z9" i="37"/>
  <c r="Y24" i="37"/>
  <c r="Y23" i="37"/>
  <c r="Y22" i="37"/>
  <c r="Y21" i="37"/>
  <c r="Y20" i="37"/>
  <c r="Y19" i="37"/>
  <c r="Y17" i="37"/>
  <c r="Y16" i="37"/>
  <c r="Y15" i="37"/>
  <c r="Y14" i="37"/>
  <c r="Y13" i="37"/>
  <c r="Y12" i="37"/>
  <c r="Y11" i="37"/>
  <c r="Y10" i="37"/>
  <c r="Y9" i="37"/>
  <c r="W24" i="37"/>
  <c r="W23" i="37"/>
  <c r="W22" i="37"/>
  <c r="W21" i="37"/>
  <c r="W20" i="37"/>
  <c r="W19" i="37"/>
  <c r="W17" i="37"/>
  <c r="W16" i="37"/>
  <c r="W15" i="37"/>
  <c r="W14" i="37"/>
  <c r="W13" i="37"/>
  <c r="W12" i="37"/>
  <c r="W11" i="37"/>
  <c r="W10" i="37"/>
  <c r="W9" i="37"/>
  <c r="U24" i="37"/>
  <c r="U23" i="37"/>
  <c r="U22" i="37"/>
  <c r="U21" i="37"/>
  <c r="U20" i="37"/>
  <c r="U19" i="37"/>
  <c r="U17" i="37"/>
  <c r="U16" i="37"/>
  <c r="U15" i="37"/>
  <c r="U14" i="37"/>
  <c r="U13" i="37"/>
  <c r="U12" i="37"/>
  <c r="U11" i="37"/>
  <c r="U10" i="37"/>
  <c r="U9" i="37"/>
  <c r="S24" i="37"/>
  <c r="S23" i="37"/>
  <c r="S22" i="37"/>
  <c r="S21" i="37"/>
  <c r="S20" i="37"/>
  <c r="S19" i="37"/>
  <c r="S17" i="37"/>
  <c r="S16" i="37"/>
  <c r="S15" i="37"/>
  <c r="S14" i="37"/>
  <c r="S13" i="37"/>
  <c r="S12" i="37"/>
  <c r="S11" i="37"/>
  <c r="S10" i="37"/>
  <c r="S9" i="37"/>
  <c r="Q24" i="37"/>
  <c r="Q23" i="37"/>
  <c r="Q22" i="37"/>
  <c r="Q21" i="37"/>
  <c r="Q20" i="37"/>
  <c r="Q19" i="37"/>
  <c r="R18" i="37"/>
  <c r="Q17" i="37"/>
  <c r="Q16" i="37"/>
  <c r="Q15" i="37"/>
  <c r="Q14" i="37"/>
  <c r="Q13" i="37"/>
  <c r="Q12" i="37"/>
  <c r="Q11" i="37"/>
  <c r="Q10" i="37"/>
  <c r="Q9" i="37"/>
  <c r="R8" i="37"/>
  <c r="P24" i="37"/>
  <c r="P23" i="37"/>
  <c r="P22" i="37"/>
  <c r="P21" i="37"/>
  <c r="P20" i="37"/>
  <c r="P19" i="37"/>
  <c r="P17" i="37"/>
  <c r="P16" i="37"/>
  <c r="P15" i="37"/>
  <c r="P14" i="37"/>
  <c r="P13" i="37"/>
  <c r="P12" i="37"/>
  <c r="P11" i="37"/>
  <c r="P10" i="37"/>
  <c r="P9" i="37"/>
  <c r="N24" i="37"/>
  <c r="N23" i="37"/>
  <c r="N22" i="37"/>
  <c r="N21" i="37"/>
  <c r="N20" i="37"/>
  <c r="N19" i="37"/>
  <c r="N17" i="37"/>
  <c r="N16" i="37"/>
  <c r="N15" i="37"/>
  <c r="N14" i="37"/>
  <c r="N13" i="37"/>
  <c r="N12" i="37"/>
  <c r="N11" i="37"/>
  <c r="N10" i="37"/>
  <c r="N9" i="37"/>
  <c r="L24" i="37"/>
  <c r="L23" i="37"/>
  <c r="L22" i="37"/>
  <c r="L21" i="37"/>
  <c r="L20" i="37"/>
  <c r="L19" i="37"/>
  <c r="L17" i="37"/>
  <c r="L16" i="37"/>
  <c r="L15" i="37"/>
  <c r="L14" i="37"/>
  <c r="L13" i="37"/>
  <c r="L12" i="37"/>
  <c r="L11" i="37"/>
  <c r="L10" i="37"/>
  <c r="L9" i="37"/>
  <c r="J24" i="37"/>
  <c r="J23" i="37"/>
  <c r="J22" i="37"/>
  <c r="J21" i="37"/>
  <c r="J20" i="37"/>
  <c r="J19" i="37"/>
  <c r="J17" i="37"/>
  <c r="J16" i="37"/>
  <c r="J15" i="37"/>
  <c r="J14" i="37"/>
  <c r="J13" i="37"/>
  <c r="J12" i="37"/>
  <c r="J11" i="37"/>
  <c r="J10" i="37"/>
  <c r="J9" i="37"/>
  <c r="H24" i="37"/>
  <c r="H23" i="37"/>
  <c r="H22" i="37"/>
  <c r="H21" i="37"/>
  <c r="H20" i="37"/>
  <c r="H19" i="37"/>
  <c r="I18" i="37"/>
  <c r="H17" i="37"/>
  <c r="H16" i="37"/>
  <c r="H15" i="37"/>
  <c r="H14" i="37"/>
  <c r="H13" i="37"/>
  <c r="H12" i="37"/>
  <c r="H11" i="37"/>
  <c r="H10" i="37"/>
  <c r="H9" i="37"/>
  <c r="I8" i="37"/>
  <c r="G24" i="37"/>
  <c r="G23" i="37"/>
  <c r="G22" i="37"/>
  <c r="G21" i="37"/>
  <c r="G20" i="37"/>
  <c r="G19" i="37"/>
  <c r="G17" i="37"/>
  <c r="G16" i="37"/>
  <c r="G15" i="37"/>
  <c r="G14" i="37"/>
  <c r="G13" i="37"/>
  <c r="G12" i="37"/>
  <c r="G11" i="37"/>
  <c r="G10" i="37"/>
  <c r="G9" i="37"/>
  <c r="F24" i="37"/>
  <c r="F23" i="37"/>
  <c r="F22" i="37"/>
  <c r="F21" i="37"/>
  <c r="F20" i="37"/>
  <c r="F19" i="37"/>
  <c r="F17" i="37"/>
  <c r="F16" i="37"/>
  <c r="F15" i="37"/>
  <c r="F14" i="37"/>
  <c r="F13" i="37"/>
  <c r="F12" i="37"/>
  <c r="F11" i="37"/>
  <c r="F10" i="37"/>
  <c r="F9" i="37"/>
  <c r="R22" i="46" l="1"/>
  <c r="F53" i="44"/>
  <c r="M51" i="44"/>
  <c r="M69" i="44"/>
  <c r="M41" i="44"/>
  <c r="M67" i="44"/>
  <c r="F67" i="44"/>
  <c r="F40" i="44"/>
  <c r="M47" i="44"/>
  <c r="F68" i="44"/>
  <c r="F65" i="44"/>
  <c r="F41" i="44"/>
  <c r="F48" i="44"/>
  <c r="F42" i="44"/>
  <c r="F70" i="44"/>
  <c r="F74" i="44"/>
  <c r="F47" i="44"/>
  <c r="F43" i="44"/>
  <c r="F46" i="44"/>
  <c r="F72" i="44"/>
  <c r="I11" i="37"/>
  <c r="R14" i="37"/>
  <c r="M45" i="44"/>
  <c r="M65" i="44"/>
  <c r="F66" i="44"/>
  <c r="M63" i="44"/>
  <c r="M44" i="44"/>
  <c r="E14" i="44"/>
  <c r="F45" i="44"/>
  <c r="F69" i="44"/>
  <c r="E19" i="44"/>
  <c r="I20" i="37"/>
  <c r="R23" i="37"/>
  <c r="M43" i="44"/>
  <c r="M74" i="44"/>
  <c r="F51" i="44"/>
  <c r="M64" i="44"/>
  <c r="M72" i="44"/>
  <c r="F49" i="44"/>
  <c r="F71" i="44"/>
  <c r="M49" i="44"/>
  <c r="M70" i="44"/>
  <c r="M52" i="44"/>
  <c r="M66" i="44"/>
  <c r="I22" i="37"/>
  <c r="M46" i="44"/>
  <c r="F52" i="44"/>
  <c r="F73" i="44"/>
  <c r="F63" i="44"/>
  <c r="I13" i="37"/>
  <c r="R16" i="37"/>
  <c r="I9" i="37"/>
  <c r="I17" i="37"/>
  <c r="R12" i="37"/>
  <c r="R21" i="37"/>
  <c r="E18" i="44"/>
  <c r="F75" i="44"/>
  <c r="F64" i="44"/>
  <c r="F44" i="44"/>
  <c r="I14" i="37"/>
  <c r="R9" i="37"/>
  <c r="R17" i="37"/>
  <c r="I23" i="37"/>
  <c r="V11" i="37"/>
  <c r="M71" i="44"/>
  <c r="R20" i="37"/>
  <c r="M42" i="44"/>
  <c r="M50" i="44"/>
  <c r="M73" i="44"/>
  <c r="F50" i="44"/>
  <c r="I19" i="37"/>
  <c r="R22" i="37"/>
  <c r="I21" i="37"/>
  <c r="R24" i="37"/>
  <c r="R15" i="37"/>
  <c r="V19" i="37"/>
  <c r="I12" i="37"/>
  <c r="I16" i="37"/>
  <c r="I24" i="37"/>
  <c r="R11" i="37"/>
  <c r="R19" i="37"/>
  <c r="I10" i="37"/>
  <c r="R13" i="37"/>
  <c r="M13" i="37"/>
  <c r="M21" i="37"/>
  <c r="M68" i="44"/>
  <c r="M48" i="44"/>
  <c r="T24" i="46"/>
  <c r="O17" i="47"/>
  <c r="X24" i="47"/>
  <c r="V22" i="47"/>
  <c r="V23" i="47"/>
  <c r="O25" i="47"/>
  <c r="M16" i="47"/>
  <c r="V24" i="46"/>
  <c r="M22" i="46"/>
  <c r="O22" i="46"/>
  <c r="M23" i="46"/>
  <c r="M11" i="46"/>
  <c r="M15" i="46"/>
  <c r="M18" i="46"/>
  <c r="M19" i="46"/>
  <c r="O19" i="46"/>
  <c r="X14" i="46"/>
  <c r="T17" i="46"/>
  <c r="T21" i="46"/>
  <c r="M24" i="38"/>
  <c r="M25" i="38"/>
  <c r="K23" i="37"/>
  <c r="T13" i="37"/>
  <c r="T21" i="37"/>
  <c r="M13" i="38"/>
  <c r="T15" i="38"/>
  <c r="O24" i="47"/>
  <c r="I14" i="38"/>
  <c r="I18" i="38"/>
  <c r="T25" i="38"/>
  <c r="X14" i="47"/>
  <c r="O11" i="37"/>
  <c r="O19" i="37"/>
  <c r="X9" i="37"/>
  <c r="X17" i="37"/>
  <c r="X18" i="47"/>
  <c r="X22" i="47"/>
  <c r="V12" i="37"/>
  <c r="R22" i="47"/>
  <c r="K16" i="46"/>
  <c r="X18" i="46"/>
  <c r="X22" i="46"/>
  <c r="R21" i="47"/>
  <c r="I21" i="47"/>
  <c r="O16" i="47"/>
  <c r="X19" i="47"/>
  <c r="X23" i="47"/>
  <c r="K14" i="46"/>
  <c r="O15" i="46"/>
  <c r="K22" i="46"/>
  <c r="O23" i="46"/>
  <c r="R24" i="46"/>
  <c r="O10" i="46"/>
  <c r="T16" i="46"/>
  <c r="O20" i="46"/>
  <c r="T11" i="38"/>
  <c r="T17" i="38"/>
  <c r="I22" i="38"/>
  <c r="R14" i="46"/>
  <c r="O17" i="46"/>
  <c r="K20" i="46"/>
  <c r="V20" i="46"/>
  <c r="O21" i="46"/>
  <c r="K24" i="46"/>
  <c r="M10" i="38"/>
  <c r="X13" i="38"/>
  <c r="M14" i="38"/>
  <c r="O14" i="46"/>
  <c r="X24" i="46"/>
  <c r="X25" i="38"/>
  <c r="M12" i="46"/>
  <c r="M16" i="46"/>
  <c r="O8" i="46"/>
  <c r="O12" i="46"/>
  <c r="O16" i="46"/>
  <c r="T17" i="47"/>
  <c r="T22" i="47"/>
  <c r="V20" i="37"/>
  <c r="T16" i="47"/>
  <c r="M20" i="38"/>
  <c r="M21" i="38"/>
  <c r="R19" i="47"/>
  <c r="R10" i="37"/>
  <c r="T20" i="46"/>
  <c r="V16" i="46"/>
  <c r="X20" i="46"/>
  <c r="O21" i="47"/>
  <c r="K23" i="47"/>
  <c r="T24" i="47"/>
  <c r="X25" i="47"/>
  <c r="X17" i="38"/>
  <c r="X21" i="38"/>
  <c r="O8" i="47"/>
  <c r="I9" i="47"/>
  <c r="X9" i="47"/>
  <c r="I13" i="47"/>
  <c r="X13" i="47"/>
  <c r="I17" i="47"/>
  <c r="X17" i="47"/>
  <c r="M19" i="47"/>
  <c r="X21" i="47"/>
  <c r="I8" i="38"/>
  <c r="I10" i="38"/>
  <c r="M17" i="38"/>
  <c r="R16" i="46"/>
  <c r="X15" i="38"/>
  <c r="X19" i="38"/>
  <c r="X23" i="38"/>
  <c r="T13" i="38"/>
  <c r="O16" i="38"/>
  <c r="M8" i="46"/>
  <c r="M20" i="46"/>
  <c r="M24" i="46"/>
  <c r="K24" i="47"/>
  <c r="R8" i="47"/>
  <c r="R18" i="47"/>
  <c r="R20" i="47"/>
  <c r="X10" i="46"/>
  <c r="K15" i="47"/>
  <c r="T20" i="47"/>
  <c r="I25" i="47"/>
  <c r="V17" i="46"/>
  <c r="K18" i="46"/>
  <c r="R20" i="46"/>
  <c r="V21" i="46"/>
  <c r="M11" i="37"/>
  <c r="M19" i="37"/>
  <c r="V9" i="37"/>
  <c r="V17" i="37"/>
  <c r="M12" i="38"/>
  <c r="M16" i="38"/>
  <c r="T9" i="46"/>
  <c r="X13" i="46"/>
  <c r="X17" i="46"/>
  <c r="X21" i="46"/>
  <c r="O12" i="38"/>
  <c r="T19" i="38"/>
  <c r="O20" i="38"/>
  <c r="T23" i="38"/>
  <c r="O24" i="38"/>
  <c r="I8" i="46"/>
  <c r="M10" i="46"/>
  <c r="I12" i="46"/>
  <c r="M14" i="46"/>
  <c r="I16" i="46"/>
  <c r="I18" i="46"/>
  <c r="T19" i="46"/>
  <c r="I20" i="46"/>
  <c r="I22" i="46"/>
  <c r="I24" i="46"/>
  <c r="I12" i="38"/>
  <c r="I20" i="38"/>
  <c r="I24" i="38"/>
  <c r="R8" i="46"/>
  <c r="O13" i="46"/>
  <c r="R18" i="46"/>
  <c r="M8" i="47"/>
  <c r="X11" i="47"/>
  <c r="M12" i="47"/>
  <c r="X15" i="47"/>
  <c r="M20" i="47"/>
  <c r="M24" i="47"/>
  <c r="O23" i="38"/>
  <c r="O12" i="47"/>
  <c r="O20" i="47"/>
  <c r="M18" i="38"/>
  <c r="M22" i="38"/>
  <c r="O10" i="38"/>
  <c r="O14" i="38"/>
  <c r="O18" i="38"/>
  <c r="O22" i="38"/>
  <c r="X10" i="47"/>
  <c r="R24" i="47"/>
  <c r="M11" i="47"/>
  <c r="R11" i="47"/>
  <c r="K13" i="47"/>
  <c r="I16" i="38"/>
  <c r="T21" i="38"/>
  <c r="V10" i="46"/>
  <c r="K11" i="46"/>
  <c r="V14" i="46"/>
  <c r="K15" i="46"/>
  <c r="V18" i="46"/>
  <c r="K19" i="46"/>
  <c r="V19" i="46"/>
  <c r="V22" i="46"/>
  <c r="K23" i="46"/>
  <c r="I8" i="47"/>
  <c r="T11" i="47"/>
  <c r="I12" i="47"/>
  <c r="I14" i="47"/>
  <c r="T15" i="47"/>
  <c r="I16" i="47"/>
  <c r="I20" i="47"/>
  <c r="I22" i="47"/>
  <c r="T23" i="47"/>
  <c r="I24" i="47"/>
  <c r="K11" i="37"/>
  <c r="K19" i="37"/>
  <c r="T9" i="37"/>
  <c r="T17" i="37"/>
  <c r="X13" i="37"/>
  <c r="X21" i="37"/>
  <c r="I14" i="46"/>
  <c r="K8" i="47"/>
  <c r="K12" i="47"/>
  <c r="K16" i="47"/>
  <c r="K20" i="47"/>
  <c r="M8" i="38"/>
  <c r="O9" i="38"/>
  <c r="X11" i="38"/>
  <c r="O8" i="38"/>
  <c r="O18" i="46"/>
  <c r="X16" i="46"/>
  <c r="M23" i="37"/>
  <c r="V13" i="37"/>
  <c r="V21" i="37"/>
  <c r="M11" i="38"/>
  <c r="O9" i="46"/>
  <c r="T10" i="46"/>
  <c r="I11" i="46"/>
  <c r="T14" i="46"/>
  <c r="I15" i="46"/>
  <c r="T18" i="46"/>
  <c r="I19" i="46"/>
  <c r="T22" i="46"/>
  <c r="I23" i="46"/>
  <c r="V9" i="46"/>
  <c r="R9" i="46"/>
  <c r="T11" i="46"/>
  <c r="R13" i="46"/>
  <c r="T15" i="46"/>
  <c r="R17" i="46"/>
  <c r="R21" i="46"/>
  <c r="V23" i="46"/>
  <c r="O24" i="46"/>
  <c r="I10" i="46"/>
  <c r="T13" i="46"/>
  <c r="K10" i="46"/>
  <c r="V13" i="46"/>
  <c r="R10" i="46"/>
  <c r="M9" i="46"/>
  <c r="M13" i="46"/>
  <c r="M17" i="46"/>
  <c r="M21" i="46"/>
  <c r="X8" i="47"/>
  <c r="X16" i="47"/>
  <c r="X20" i="47"/>
  <c r="V20" i="47"/>
  <c r="M9" i="47"/>
  <c r="R12" i="47"/>
  <c r="R16" i="47"/>
  <c r="M10" i="47"/>
  <c r="M14" i="47"/>
  <c r="M18" i="47"/>
  <c r="M22" i="47"/>
  <c r="O22" i="47"/>
  <c r="R11" i="46"/>
  <c r="R15" i="46"/>
  <c r="O11" i="46"/>
  <c r="R12" i="46"/>
  <c r="X9" i="46"/>
  <c r="R23" i="46"/>
  <c r="T23" i="46"/>
  <c r="R19" i="46"/>
  <c r="K13" i="37"/>
  <c r="K21" i="37"/>
  <c r="T11" i="37"/>
  <c r="T19" i="37"/>
  <c r="K10" i="38"/>
  <c r="T10" i="38"/>
  <c r="V14" i="38"/>
  <c r="M13" i="47"/>
  <c r="M17" i="47"/>
  <c r="T19" i="47"/>
  <c r="M21" i="47"/>
  <c r="M25" i="47"/>
  <c r="M12" i="37"/>
  <c r="M20" i="37"/>
  <c r="V10" i="37"/>
  <c r="V18" i="37"/>
  <c r="I9" i="38"/>
  <c r="X9" i="38"/>
  <c r="I13" i="38"/>
  <c r="K15" i="38"/>
  <c r="I17" i="38"/>
  <c r="K19" i="38"/>
  <c r="I21" i="38"/>
  <c r="M23" i="38"/>
  <c r="I25" i="38"/>
  <c r="O9" i="47"/>
  <c r="V11" i="47"/>
  <c r="O13" i="47"/>
  <c r="V15" i="47"/>
  <c r="V19" i="47"/>
  <c r="K9" i="38"/>
  <c r="R11" i="38"/>
  <c r="K13" i="38"/>
  <c r="R13" i="38"/>
  <c r="R15" i="38"/>
  <c r="K17" i="38"/>
  <c r="R17" i="38"/>
  <c r="R19" i="38"/>
  <c r="K21" i="38"/>
  <c r="R23" i="38"/>
  <c r="K25" i="38"/>
  <c r="R25" i="38"/>
  <c r="O12" i="37"/>
  <c r="O20" i="37"/>
  <c r="X10" i="37"/>
  <c r="X11" i="37"/>
  <c r="X19" i="37"/>
  <c r="M9" i="38"/>
  <c r="O13" i="38"/>
  <c r="V15" i="38"/>
  <c r="V19" i="38"/>
  <c r="V23" i="38"/>
  <c r="K8" i="46"/>
  <c r="X8" i="46"/>
  <c r="V11" i="46"/>
  <c r="K12" i="46"/>
  <c r="X12" i="46"/>
  <c r="V15" i="46"/>
  <c r="X11" i="46"/>
  <c r="X15" i="46"/>
  <c r="X19" i="46"/>
  <c r="X23" i="46"/>
  <c r="T14" i="47"/>
  <c r="V18" i="47"/>
  <c r="K12" i="37"/>
  <c r="K20" i="37"/>
  <c r="T10" i="37"/>
  <c r="T18" i="37"/>
  <c r="K9" i="47"/>
  <c r="R9" i="47"/>
  <c r="R13" i="47"/>
  <c r="R15" i="47"/>
  <c r="K17" i="47"/>
  <c r="R17" i="47"/>
  <c r="K21" i="47"/>
  <c r="R23" i="47"/>
  <c r="K25" i="47"/>
  <c r="R25" i="47"/>
  <c r="B111" i="44"/>
  <c r="B109" i="44"/>
  <c r="B110" i="44"/>
  <c r="T8" i="46"/>
  <c r="T12" i="46"/>
  <c r="O13" i="37"/>
  <c r="O21" i="37"/>
  <c r="R14" i="38"/>
  <c r="V8" i="46"/>
  <c r="V12" i="46"/>
  <c r="O10" i="47"/>
  <c r="O14" i="47"/>
  <c r="O18" i="47"/>
  <c r="C111" i="44"/>
  <c r="C110" i="44"/>
  <c r="C109" i="44"/>
  <c r="T14" i="37"/>
  <c r="M8" i="37"/>
  <c r="M16" i="37"/>
  <c r="M24" i="37"/>
  <c r="V14" i="37"/>
  <c r="V22" i="37"/>
  <c r="I23" i="38"/>
  <c r="R18" i="38"/>
  <c r="R22" i="38"/>
  <c r="R10" i="47"/>
  <c r="V12" i="47"/>
  <c r="R14" i="47"/>
  <c r="V16" i="47"/>
  <c r="V24" i="47"/>
  <c r="K24" i="37"/>
  <c r="T22" i="37"/>
  <c r="X14" i="38"/>
  <c r="M19" i="38"/>
  <c r="I9" i="46"/>
  <c r="I13" i="46"/>
  <c r="I17" i="46"/>
  <c r="I21" i="46"/>
  <c r="K8" i="37"/>
  <c r="M10" i="37"/>
  <c r="M18" i="37"/>
  <c r="O8" i="37"/>
  <c r="O16" i="37"/>
  <c r="O24" i="37"/>
  <c r="V8" i="37"/>
  <c r="V16" i="37"/>
  <c r="V24" i="37"/>
  <c r="X14" i="37"/>
  <c r="X22" i="37"/>
  <c r="M15" i="38"/>
  <c r="R21" i="38"/>
  <c r="K9" i="46"/>
  <c r="K13" i="46"/>
  <c r="K17" i="46"/>
  <c r="K21" i="46"/>
  <c r="K16" i="37"/>
  <c r="T9" i="38"/>
  <c r="C104" i="44"/>
  <c r="C103" i="44"/>
  <c r="C105" i="44"/>
  <c r="K11" i="47"/>
  <c r="V9" i="47"/>
  <c r="V13" i="47"/>
  <c r="V25" i="47"/>
  <c r="E26" i="44"/>
  <c r="K15" i="37"/>
  <c r="M14" i="37"/>
  <c r="M22" i="37"/>
  <c r="X18" i="37"/>
  <c r="M15" i="37"/>
  <c r="O15" i="37"/>
  <c r="O23" i="37"/>
  <c r="I15" i="37"/>
  <c r="K9" i="37"/>
  <c r="K17" i="37"/>
  <c r="T15" i="37"/>
  <c r="T23" i="37"/>
  <c r="M9" i="37"/>
  <c r="M17" i="37"/>
  <c r="V15" i="37"/>
  <c r="V23" i="37"/>
  <c r="X15" i="37"/>
  <c r="X23" i="37"/>
  <c r="E17" i="44"/>
  <c r="E22" i="44"/>
  <c r="E10" i="44"/>
  <c r="E23" i="44"/>
  <c r="M23" i="47"/>
  <c r="O23" i="47"/>
  <c r="M15" i="47"/>
  <c r="I18" i="47"/>
  <c r="T8" i="47"/>
  <c r="I15" i="47"/>
  <c r="I19" i="47"/>
  <c r="K22" i="47"/>
  <c r="K19" i="47"/>
  <c r="I10" i="47"/>
  <c r="K10" i="47"/>
  <c r="O11" i="47"/>
  <c r="K14" i="47"/>
  <c r="O15" i="47"/>
  <c r="K18" i="47"/>
  <c r="O19" i="47"/>
  <c r="K14" i="38"/>
  <c r="K18" i="38"/>
  <c r="K22" i="38"/>
  <c r="R9" i="38"/>
  <c r="R10" i="38"/>
  <c r="V11" i="38"/>
  <c r="X24" i="38"/>
  <c r="E16" i="44"/>
  <c r="E11" i="44"/>
  <c r="O9" i="37"/>
  <c r="O17" i="37"/>
  <c r="K14" i="37"/>
  <c r="K22" i="37"/>
  <c r="O10" i="37"/>
  <c r="O18" i="37"/>
  <c r="T12" i="37"/>
  <c r="T20" i="37"/>
  <c r="X8" i="37"/>
  <c r="X16" i="37"/>
  <c r="X24" i="37"/>
  <c r="K10" i="37"/>
  <c r="K18" i="37"/>
  <c r="O14" i="37"/>
  <c r="O22" i="37"/>
  <c r="T8" i="37"/>
  <c r="T16" i="37"/>
  <c r="T24" i="37"/>
  <c r="X12" i="37"/>
  <c r="X20" i="37"/>
  <c r="E13" i="44"/>
  <c r="E24" i="44"/>
  <c r="E12" i="44"/>
  <c r="E25" i="44"/>
  <c r="E15" i="44"/>
  <c r="E20" i="44"/>
  <c r="E21" i="44"/>
  <c r="E27" i="44"/>
  <c r="V8" i="47"/>
  <c r="T12" i="47"/>
  <c r="X12" i="47"/>
  <c r="T10" i="47"/>
  <c r="V10" i="47"/>
  <c r="T18" i="47"/>
  <c r="I11" i="47"/>
  <c r="V14" i="47"/>
  <c r="I23" i="47"/>
  <c r="T9" i="47"/>
  <c r="T13" i="47"/>
  <c r="T21" i="47"/>
  <c r="T25" i="47"/>
  <c r="V17" i="47"/>
  <c r="V21" i="47"/>
  <c r="K11" i="38"/>
  <c r="V9" i="38"/>
  <c r="V13" i="38"/>
  <c r="V17" i="38"/>
  <c r="T18" i="38"/>
  <c r="V21" i="38"/>
  <c r="T22" i="38"/>
  <c r="V25" i="38"/>
  <c r="K8" i="38"/>
  <c r="V8" i="38"/>
  <c r="K12" i="38"/>
  <c r="V12" i="38"/>
  <c r="K16" i="38"/>
  <c r="T16" i="38"/>
  <c r="O17" i="38"/>
  <c r="K20" i="38"/>
  <c r="V20" i="38"/>
  <c r="O21" i="38"/>
  <c r="K24" i="38"/>
  <c r="O25" i="38"/>
  <c r="X22" i="38"/>
  <c r="X12" i="38"/>
  <c r="V16" i="38"/>
  <c r="V18" i="38"/>
  <c r="X20" i="38"/>
  <c r="T12" i="38"/>
  <c r="V10" i="38"/>
  <c r="T14" i="38"/>
  <c r="X10" i="38"/>
  <c r="X16" i="38"/>
  <c r="T20" i="38"/>
  <c r="T24" i="38"/>
  <c r="T8" i="38"/>
  <c r="X8" i="38"/>
  <c r="X18" i="38"/>
  <c r="O11" i="38"/>
  <c r="O15" i="38"/>
  <c r="O19" i="38"/>
  <c r="R24" i="38"/>
  <c r="R8" i="38"/>
  <c r="R12" i="38"/>
  <c r="R16" i="38"/>
  <c r="R20" i="38"/>
  <c r="V24" i="38"/>
  <c r="I11" i="38"/>
  <c r="I15" i="38"/>
  <c r="I19" i="38"/>
  <c r="K23" i="38"/>
  <c r="V22" i="38"/>
  <c r="L13" i="44"/>
  <c r="L19" i="44"/>
  <c r="L22" i="44"/>
  <c r="L26" i="44"/>
  <c r="L14" i="44"/>
  <c r="L25" i="44"/>
  <c r="L23" i="44"/>
  <c r="L15" i="44" l="1"/>
  <c r="L20" i="44"/>
  <c r="L12" i="44"/>
  <c r="L17" i="44"/>
  <c r="L10" i="44"/>
  <c r="L16" i="44"/>
  <c r="L18" i="44"/>
  <c r="L11" i="44"/>
  <c r="L21" i="44"/>
  <c r="K7" i="30"/>
  <c r="D11" i="30" l="1"/>
  <c r="O80" i="44" l="1"/>
  <c r="K80" i="44"/>
  <c r="G80" i="44"/>
  <c r="C80" i="44"/>
  <c r="B103" i="44" l="1"/>
  <c r="B105" i="44"/>
  <c r="B104" i="44"/>
  <c r="S149" i="4"/>
  <c r="F149" i="4"/>
  <c r="H49" i="4"/>
  <c r="B7" i="30" s="1"/>
  <c r="G99" i="4"/>
  <c r="G7" i="6" s="1"/>
  <c r="V199" i="4"/>
  <c r="E24" i="30" s="1"/>
  <c r="O149" i="4"/>
  <c r="U174" i="4"/>
  <c r="K23" i="30" s="1"/>
  <c r="E174" i="4"/>
  <c r="N124" i="4"/>
  <c r="I19" i="2" s="1"/>
  <c r="G174" i="4"/>
  <c r="K6" i="30" s="1"/>
  <c r="S124" i="4"/>
  <c r="F24" i="4"/>
  <c r="G124" i="4"/>
  <c r="I7" i="2" s="1"/>
  <c r="U74" i="4"/>
  <c r="G27" i="2" s="1"/>
  <c r="S174" i="4"/>
  <c r="M74" i="4"/>
  <c r="M24" i="4"/>
  <c r="H124" i="4"/>
  <c r="J7" i="30" s="1"/>
  <c r="K99" i="4"/>
  <c r="C12" i="30" s="1"/>
  <c r="U199" i="4"/>
  <c r="K27" i="6" s="1"/>
  <c r="O99" i="4"/>
  <c r="E149" i="4"/>
  <c r="V149" i="4"/>
  <c r="I28" i="6" s="1"/>
  <c r="N199" i="4"/>
  <c r="K19" i="6" s="1"/>
  <c r="S49" i="4"/>
  <c r="E26" i="6" s="1"/>
  <c r="Q99" i="4"/>
  <c r="C18" i="30" s="1"/>
  <c r="O199" i="4"/>
  <c r="H174" i="4"/>
  <c r="K10" i="2" s="1"/>
  <c r="O74" i="4"/>
  <c r="K74" i="4"/>
  <c r="G15" i="2" s="1"/>
  <c r="N24" i="4"/>
  <c r="E19" i="2" s="1"/>
  <c r="J149" i="4"/>
  <c r="I13" i="6" s="1"/>
  <c r="V49" i="4"/>
  <c r="B24" i="30" s="1"/>
  <c r="M99" i="4"/>
  <c r="G19" i="6" s="1"/>
  <c r="E199" i="4"/>
  <c r="I149" i="4"/>
  <c r="L49" i="4"/>
  <c r="B13" i="30" s="1"/>
  <c r="J99" i="4"/>
  <c r="G13" i="6" s="1"/>
  <c r="H149" i="4"/>
  <c r="I10" i="6" s="1"/>
  <c r="M49" i="4"/>
  <c r="E19" i="6" s="1"/>
  <c r="O49" i="4"/>
  <c r="S99" i="4"/>
  <c r="G26" i="6" s="1"/>
  <c r="G74" i="4"/>
  <c r="I6" i="30" s="1"/>
  <c r="F74" i="4"/>
  <c r="L124" i="4"/>
  <c r="J13" i="30" s="1"/>
  <c r="I24" i="4"/>
  <c r="S24" i="4"/>
  <c r="E26" i="2" s="1"/>
  <c r="K199" i="4"/>
  <c r="E12" i="30" s="1"/>
  <c r="U99" i="4"/>
  <c r="C23" i="30" s="1"/>
  <c r="N99" i="4"/>
  <c r="Q74" i="4"/>
  <c r="I18" i="30" s="1"/>
  <c r="H24" i="4"/>
  <c r="H7" i="30" s="1"/>
  <c r="T174" i="4"/>
  <c r="K26" i="2" s="1"/>
  <c r="V174" i="4"/>
  <c r="K28" i="2" s="1"/>
  <c r="Q149" i="4"/>
  <c r="I22" i="6" s="1"/>
  <c r="R174" i="4"/>
  <c r="K24" i="2" s="1"/>
  <c r="K24" i="4"/>
  <c r="H12" i="30" s="1"/>
  <c r="J199" i="4"/>
  <c r="P24" i="4"/>
  <c r="H17" i="30" s="1"/>
  <c r="J124" i="4"/>
  <c r="J11" i="30" s="1"/>
  <c r="T24" i="4"/>
  <c r="E74" i="4"/>
  <c r="G149" i="4"/>
  <c r="I7" i="6" s="1"/>
  <c r="Q199" i="4"/>
  <c r="E18" i="30" s="1"/>
  <c r="R199" i="4"/>
  <c r="E49" i="4"/>
  <c r="R49" i="4"/>
  <c r="B19" i="30" s="1"/>
  <c r="V74" i="4"/>
  <c r="G28" i="2" s="1"/>
  <c r="U24" i="4"/>
  <c r="E27" i="2" s="1"/>
  <c r="J74" i="4"/>
  <c r="I11" i="30" s="1"/>
  <c r="N174" i="4"/>
  <c r="K19" i="2" s="1"/>
  <c r="K174" i="4"/>
  <c r="K12" i="30" s="1"/>
  <c r="Q124" i="4"/>
  <c r="I22" i="2" s="1"/>
  <c r="T199" i="4"/>
  <c r="K26" i="6" s="1"/>
  <c r="L149" i="4"/>
  <c r="D13" i="30" s="1"/>
  <c r="F99" i="4"/>
  <c r="T99" i="4"/>
  <c r="H199" i="4"/>
  <c r="E99" i="4"/>
  <c r="M199" i="4"/>
  <c r="R74" i="4"/>
  <c r="I19" i="30" s="1"/>
  <c r="U124" i="4"/>
  <c r="J23" i="30" s="1"/>
  <c r="P74" i="4"/>
  <c r="I17" i="30" s="1"/>
  <c r="O174" i="4"/>
  <c r="F174" i="4"/>
  <c r="K149" i="4"/>
  <c r="I15" i="6" s="1"/>
  <c r="I99" i="4"/>
  <c r="F199" i="4"/>
  <c r="T149" i="4"/>
  <c r="I26" i="6" s="1"/>
  <c r="H99" i="4"/>
  <c r="C7" i="30" s="1"/>
  <c r="G49" i="4"/>
  <c r="B6" i="30" s="1"/>
  <c r="Q49" i="4"/>
  <c r="B18" i="30" s="1"/>
  <c r="G24" i="4"/>
  <c r="H6" i="30" s="1"/>
  <c r="N74" i="4"/>
  <c r="G19" i="2" s="1"/>
  <c r="T124" i="4"/>
  <c r="I26" i="2" s="1"/>
  <c r="P124" i="4"/>
  <c r="J17" i="30" s="1"/>
  <c r="V24" i="4"/>
  <c r="H24" i="30" s="1"/>
  <c r="I124" i="4"/>
  <c r="Q24" i="4"/>
  <c r="H18" i="30" s="1"/>
  <c r="R149" i="4"/>
  <c r="I24" i="6" s="1"/>
  <c r="U49" i="4"/>
  <c r="B23" i="30" s="1"/>
  <c r="L99" i="4"/>
  <c r="C13" i="30" s="1"/>
  <c r="U149" i="4"/>
  <c r="I27" i="6" s="1"/>
  <c r="N49" i="4"/>
  <c r="P99" i="4"/>
  <c r="C17" i="30" s="1"/>
  <c r="N149" i="4"/>
  <c r="I19" i="6" s="1"/>
  <c r="J49" i="4"/>
  <c r="B11" i="30" s="1"/>
  <c r="V124" i="4"/>
  <c r="I28" i="2" s="1"/>
  <c r="P149" i="4"/>
  <c r="D17" i="30" s="1"/>
  <c r="L24" i="4"/>
  <c r="H13" i="30" s="1"/>
  <c r="P174" i="4"/>
  <c r="K17" i="30" s="1"/>
  <c r="R24" i="4"/>
  <c r="H19" i="30" s="1"/>
  <c r="H74" i="4"/>
  <c r="G10" i="2" s="1"/>
  <c r="M124" i="4"/>
  <c r="I49" i="4"/>
  <c r="G199" i="4"/>
  <c r="E6" i="30" s="1"/>
  <c r="V99" i="4"/>
  <c r="G28" i="6" s="1"/>
  <c r="T49" i="4"/>
  <c r="P199" i="4"/>
  <c r="M149" i="4"/>
  <c r="L199" i="4"/>
  <c r="S199" i="4"/>
  <c r="P49" i="4"/>
  <c r="B17" i="30" s="1"/>
  <c r="K49" i="4"/>
  <c r="E15" i="6" s="1"/>
  <c r="T74" i="4"/>
  <c r="I174" i="4"/>
  <c r="M174" i="4"/>
  <c r="L174" i="4"/>
  <c r="K17" i="2" s="1"/>
  <c r="I74" i="4"/>
  <c r="F124" i="4"/>
  <c r="E24" i="4"/>
  <c r="J174" i="4"/>
  <c r="K11" i="30" s="1"/>
  <c r="J24" i="4"/>
  <c r="H11" i="30" s="1"/>
  <c r="I199" i="4"/>
  <c r="F49" i="4"/>
  <c r="R124" i="4"/>
  <c r="I24" i="2" s="1"/>
  <c r="E124" i="4"/>
  <c r="Q174" i="4"/>
  <c r="K22" i="2" s="1"/>
  <c r="S74" i="4"/>
  <c r="G26" i="2" s="1"/>
  <c r="O124" i="4"/>
  <c r="O24" i="4"/>
  <c r="R99" i="4"/>
  <c r="C19" i="30" s="1"/>
  <c r="L74" i="4"/>
  <c r="G17" i="2" s="1"/>
  <c r="K124" i="4"/>
  <c r="J12" i="30" s="1"/>
  <c r="C24" i="30" l="1"/>
  <c r="J24" i="2"/>
  <c r="I15" i="2"/>
  <c r="J15" i="2" s="1"/>
  <c r="F15" i="6"/>
  <c r="K15" i="2"/>
  <c r="L15" i="2" s="1"/>
  <c r="E13" i="6"/>
  <c r="F13" i="6" s="1"/>
  <c r="J22" i="6"/>
  <c r="L17" i="2"/>
  <c r="K13" i="30"/>
  <c r="G20" i="2"/>
  <c r="H20" i="2" s="1"/>
  <c r="E17" i="6"/>
  <c r="F17" i="6" s="1"/>
  <c r="I20" i="6"/>
  <c r="J20" i="6" s="1"/>
  <c r="I13" i="2"/>
  <c r="J13" i="2" s="1"/>
  <c r="J19" i="30"/>
  <c r="D23" i="30"/>
  <c r="G10" i="6"/>
  <c r="H13" i="6"/>
  <c r="I17" i="6"/>
  <c r="J17" i="6" s="1"/>
  <c r="E20" i="2"/>
  <c r="F20" i="2" s="1"/>
  <c r="K20" i="2"/>
  <c r="L20" i="2" s="1"/>
  <c r="E27" i="6"/>
  <c r="H23" i="30"/>
  <c r="K27" i="2"/>
  <c r="J24" i="6"/>
  <c r="E7" i="2"/>
  <c r="D12" i="30"/>
  <c r="D6" i="30"/>
  <c r="G24" i="6"/>
  <c r="H24" i="6" s="1"/>
  <c r="E20" i="6"/>
  <c r="F20" i="6" s="1"/>
  <c r="J24" i="30"/>
  <c r="G17" i="6"/>
  <c r="H17" i="6" s="1"/>
  <c r="I27" i="2"/>
  <c r="I17" i="2"/>
  <c r="J17" i="2" s="1"/>
  <c r="C6" i="30"/>
  <c r="G24" i="2"/>
  <c r="H24" i="2" s="1"/>
  <c r="J18" i="30"/>
  <c r="G27" i="6"/>
  <c r="C11" i="30"/>
  <c r="E24" i="6"/>
  <c r="F24" i="6" s="1"/>
  <c r="G22" i="6"/>
  <c r="H22" i="6" s="1"/>
  <c r="E13" i="2"/>
  <c r="F13" i="2" s="1"/>
  <c r="K17" i="6"/>
  <c r="L17" i="6" s="1"/>
  <c r="G13" i="2"/>
  <c r="H13" i="2" s="1"/>
  <c r="E10" i="2"/>
  <c r="J6" i="30"/>
  <c r="H17" i="2"/>
  <c r="H15" i="2"/>
  <c r="I10" i="2"/>
  <c r="K28" i="6"/>
  <c r="L22" i="2"/>
  <c r="K20" i="6"/>
  <c r="L20" i="6" s="1"/>
  <c r="E22" i="2"/>
  <c r="F22" i="2" s="1"/>
  <c r="L24" i="2"/>
  <c r="G22" i="2"/>
  <c r="H22" i="2" s="1"/>
  <c r="J15" i="6"/>
  <c r="J13" i="6"/>
  <c r="J22" i="2"/>
  <c r="K10" i="6"/>
  <c r="D19" i="30"/>
  <c r="K19" i="30"/>
  <c r="K7" i="2"/>
  <c r="E10" i="6"/>
  <c r="I7" i="30"/>
  <c r="E17" i="2"/>
  <c r="F17" i="2" s="1"/>
  <c r="G20" i="6"/>
  <c r="H20" i="6" s="1"/>
  <c r="I20" i="2"/>
  <c r="J20" i="2" s="1"/>
  <c r="I24" i="30"/>
  <c r="K13" i="6"/>
  <c r="L13" i="6" s="1"/>
  <c r="K15" i="6"/>
  <c r="L15" i="6" s="1"/>
  <c r="E7" i="30"/>
  <c r="E28" i="6"/>
  <c r="E11" i="30"/>
  <c r="D18" i="30"/>
  <c r="G15" i="6"/>
  <c r="H15" i="6" s="1"/>
  <c r="I12" i="30"/>
  <c r="E13" i="30"/>
  <c r="K13" i="2"/>
  <c r="L13" i="2" s="1"/>
  <c r="E24" i="2"/>
  <c r="F24" i="2" s="1"/>
  <c r="E22" i="6"/>
  <c r="F22" i="6" s="1"/>
  <c r="B12" i="30"/>
  <c r="E15" i="2"/>
  <c r="F15" i="2" s="1"/>
  <c r="E17" i="30"/>
  <c r="I23" i="30"/>
  <c r="K22" i="6"/>
  <c r="L22" i="6" s="1"/>
  <c r="E19" i="30"/>
  <c r="I13" i="30"/>
  <c r="E28" i="2"/>
  <c r="E7" i="6"/>
  <c r="K24" i="6"/>
  <c r="L24" i="6" s="1"/>
  <c r="K24" i="30"/>
  <c r="G7" i="2"/>
  <c r="D7" i="30"/>
  <c r="D24" i="30"/>
  <c r="E23" i="30"/>
  <c r="K7" i="6"/>
  <c r="K18" i="30"/>
</calcChain>
</file>

<file path=xl/sharedStrings.xml><?xml version="1.0" encoding="utf-8"?>
<sst xmlns="http://schemas.openxmlformats.org/spreadsheetml/2006/main" count="3867" uniqueCount="206">
  <si>
    <t xml:space="preserve">Reporting hospital </t>
  </si>
  <si>
    <t>Local consultant</t>
  </si>
  <si>
    <t xml:space="preserve">Visiting specialist </t>
  </si>
  <si>
    <t>DNA Rate (%)</t>
  </si>
  <si>
    <t>Q1</t>
  </si>
  <si>
    <t>Q2</t>
  </si>
  <si>
    <t>Q3</t>
  </si>
  <si>
    <t>Q4</t>
  </si>
  <si>
    <t xml:space="preserve">Q1 </t>
  </si>
  <si>
    <t>Local Consultant</t>
  </si>
  <si>
    <t xml:space="preserve">Visiting Consultant </t>
  </si>
  <si>
    <t>Adults</t>
  </si>
  <si>
    <t xml:space="preserve">Paediatrics </t>
  </si>
  <si>
    <t>Contents</t>
  </si>
  <si>
    <t>Unit</t>
  </si>
  <si>
    <t>NOTE</t>
  </si>
  <si>
    <t>Data accurate as of date of provision</t>
  </si>
  <si>
    <t>Visiting Consultant</t>
  </si>
  <si>
    <t>Adults / Paediatrics</t>
  </si>
  <si>
    <t>England / Wales</t>
  </si>
  <si>
    <t>Adult</t>
  </si>
  <si>
    <t>England</t>
  </si>
  <si>
    <t>Wales</t>
  </si>
  <si>
    <t>Paediatric</t>
  </si>
  <si>
    <t xml:space="preserve">New Outpatient Wait Times </t>
  </si>
  <si>
    <r>
      <rPr>
        <b/>
        <sz val="11"/>
        <color theme="0"/>
        <rFont val="Calibri"/>
        <family val="2"/>
        <scheme val="minor"/>
      </rPr>
      <t>Local Consultant</t>
    </r>
    <r>
      <rPr>
        <sz val="11"/>
        <color theme="0"/>
        <rFont val="Calibri"/>
        <family val="2"/>
        <scheme val="minor"/>
      </rPr>
      <t xml:space="preserve"> Wait (weeks) for new patients</t>
    </r>
  </si>
  <si>
    <r>
      <rPr>
        <b/>
        <sz val="11"/>
        <color theme="0"/>
        <rFont val="Calibri"/>
        <family val="2"/>
        <scheme val="minor"/>
      </rPr>
      <t>Visiting Specialist</t>
    </r>
    <r>
      <rPr>
        <sz val="11"/>
        <color theme="0"/>
        <rFont val="Calibri"/>
        <family val="2"/>
        <scheme val="minor"/>
      </rPr>
      <t xml:space="preserve"> Wait (weeks) for new patients</t>
    </r>
  </si>
  <si>
    <t xml:space="preserve">Follow up Backlogs </t>
  </si>
  <si>
    <t>3-5 mths (%)</t>
  </si>
  <si>
    <t>6-11 mths (%)</t>
  </si>
  <si>
    <t>≥12 mths (%)</t>
  </si>
  <si>
    <r>
      <t xml:space="preserve">Visiting Specialist Consultant
</t>
    </r>
    <r>
      <rPr>
        <sz val="10"/>
        <color theme="0"/>
        <rFont val="Calibri"/>
        <family val="2"/>
        <scheme val="minor"/>
      </rPr>
      <t>Overdue follow-up backlogs - Local consultant at end of reporting quarter</t>
    </r>
  </si>
  <si>
    <r>
      <t xml:space="preserve">Local Consultant 
</t>
    </r>
    <r>
      <rPr>
        <sz val="10"/>
        <color theme="0"/>
        <rFont val="Calibri"/>
        <family val="2"/>
        <scheme val="minor"/>
      </rPr>
      <t>Overdue follow-up backlogs - local consultant at end of reporting quarter</t>
    </r>
  </si>
  <si>
    <t xml:space="preserve">Total </t>
  </si>
  <si>
    <t>3 to 5 months</t>
  </si>
  <si>
    <t>6 to 11 months</t>
  </si>
  <si>
    <t>≥12 months</t>
  </si>
  <si>
    <t>3-5 mnth</t>
  </si>
  <si>
    <t>6 -11 mnth</t>
  </si>
  <si>
    <t>≥12mnt</t>
  </si>
  <si>
    <t>Visiting consultant</t>
  </si>
  <si>
    <t>DNA rates (%)</t>
  </si>
  <si>
    <t>New OP wait (weeks)for new patients</t>
  </si>
  <si>
    <t xml:space="preserve">Follow-up Backlog (overdue follow-up backlogs - end of reporting quarter) </t>
  </si>
  <si>
    <t xml:space="preserve">New Outpatient Wait times (weeks) </t>
  </si>
  <si>
    <t>New Outpatient Wait Times (weeks)</t>
  </si>
  <si>
    <t>Q2 - Jul to Sep</t>
  </si>
  <si>
    <t>Q1 - Apr to Jun</t>
  </si>
  <si>
    <t>Q3 - Oct to Dec</t>
  </si>
  <si>
    <t>Q4 - Jan to Mar</t>
  </si>
  <si>
    <t>CHDN Red Colour</t>
  </si>
  <si>
    <r>
      <t xml:space="preserve">South Wales and South West 
</t>
    </r>
    <r>
      <rPr>
        <b/>
        <sz val="22"/>
        <color theme="0"/>
        <rFont val="Calibri"/>
        <family val="2"/>
        <scheme val="minor"/>
      </rPr>
      <t>Congential Heart Disease Network</t>
    </r>
  </si>
  <si>
    <t xml:space="preserve">Swindon, Great Weston Hospital </t>
  </si>
  <si>
    <t xml:space="preserve">Adults </t>
  </si>
  <si>
    <t xml:space="preserve">Torquay, Torbay General District Hospital </t>
  </si>
  <si>
    <t xml:space="preserve"> </t>
  </si>
  <si>
    <t>Gloucester, Gloucestershire Hospitals</t>
  </si>
  <si>
    <t xml:space="preserve">Taunton, Musgrove Park Hospital </t>
  </si>
  <si>
    <t xml:space="preserve">Barnstaple, North Devon District Hospital </t>
  </si>
  <si>
    <t xml:space="preserve">Bath, Royal United Hospital </t>
  </si>
  <si>
    <t xml:space="preserve">Exeter, Royal Devon and Exeter Hospital </t>
  </si>
  <si>
    <t xml:space="preserve">Plymouth, Derriford Hospital </t>
  </si>
  <si>
    <t xml:space="preserve">Truro, Royal Cornwall Hospital </t>
  </si>
  <si>
    <t xml:space="preserve">ADULT </t>
  </si>
  <si>
    <t>PAEDIATRICS</t>
  </si>
  <si>
    <t>Unit Level</t>
  </si>
  <si>
    <r>
      <t>Unit level Year to Date:</t>
    </r>
    <r>
      <rPr>
        <b/>
        <sz val="14"/>
        <color theme="0"/>
        <rFont val="Calibri"/>
        <family val="2"/>
      </rPr>
      <t xml:space="preserve"> Paediatric Outpatients </t>
    </r>
  </si>
  <si>
    <t xml:space="preserve">Paediatrics - Local consultant </t>
  </si>
  <si>
    <t xml:space="preserve">Paediatrics - Visiting consultant </t>
  </si>
  <si>
    <t xml:space="preserve">DNA </t>
  </si>
  <si>
    <t xml:space="preserve">ADULT local consultant </t>
  </si>
  <si>
    <t xml:space="preserve">ADULT visiting consultant </t>
  </si>
  <si>
    <t xml:space="preserve">Paediatrics Local Consultant </t>
  </si>
  <si>
    <t xml:space="preserve">Paediatrics Visiting Consultant </t>
  </si>
  <si>
    <t xml:space="preserve">Paediatrics DNA </t>
  </si>
  <si>
    <t xml:space="preserve">DNA Range </t>
  </si>
  <si>
    <t xml:space="preserve">Visiting consultant </t>
  </si>
  <si>
    <t>DNA Range</t>
  </si>
  <si>
    <t>≥18 wks</t>
  </si>
  <si>
    <t>13-17 wks</t>
  </si>
  <si>
    <t>≤12 wks</t>
  </si>
  <si>
    <t>≥20%</t>
  </si>
  <si>
    <t>10-19%</t>
  </si>
  <si>
    <t>&lt;10%</t>
  </si>
  <si>
    <t>≥50%</t>
  </si>
  <si>
    <t>&lt;50%</t>
  </si>
  <si>
    <t>RAG RATINGS: Set by Network</t>
  </si>
  <si>
    <t>For more information on rag ratings please click here</t>
  </si>
  <si>
    <r>
      <t>Unit level Year to Date:</t>
    </r>
    <r>
      <rPr>
        <b/>
        <sz val="14"/>
        <color theme="0"/>
        <rFont val="Calibri"/>
        <family val="2"/>
      </rPr>
      <t xml:space="preserve"> Adults Outpatients </t>
    </r>
  </si>
  <si>
    <t xml:space="preserve">Drop downs </t>
  </si>
  <si>
    <r>
      <rPr>
        <b/>
        <sz val="11"/>
        <color theme="1"/>
        <rFont val="Calibri"/>
        <family val="2"/>
        <scheme val="minor"/>
      </rPr>
      <t>Adults</t>
    </r>
    <r>
      <rPr>
        <sz val="11"/>
        <color theme="1"/>
        <rFont val="Calibri"/>
        <family val="2"/>
        <scheme val="minor"/>
      </rPr>
      <t xml:space="preserve"> - Local consultant </t>
    </r>
  </si>
  <si>
    <t xml:space="preserve">Adults - Visiting consultant </t>
  </si>
  <si>
    <t xml:space="preserve">Adults DNA </t>
  </si>
  <si>
    <t>3-5 months</t>
  </si>
  <si>
    <t>6 -11 months</t>
  </si>
  <si>
    <t>Return to Contents</t>
  </si>
  <si>
    <r>
      <rPr>
        <sz val="18"/>
        <color theme="0"/>
        <rFont val="Calibri"/>
        <family val="2"/>
      </rPr>
      <t>South Wales and South West  CHD Network</t>
    </r>
    <r>
      <rPr>
        <b/>
        <sz val="18"/>
        <color theme="0"/>
        <rFont val="Calibri"/>
        <family val="2"/>
      </rPr>
      <t xml:space="preserve"> Outpatients Dashboard Graphs </t>
    </r>
  </si>
  <si>
    <t xml:space="preserve">Number of overdue follow-up backlogs at the end of the quarter </t>
  </si>
  <si>
    <t xml:space="preserve">DNA Rate (%) </t>
  </si>
  <si>
    <t xml:space="preserve">Adult Services </t>
  </si>
  <si>
    <t>Click on the relevant box to be taken to the page</t>
  </si>
  <si>
    <t xml:space="preserve">South Wales and South West CHD Network  </t>
  </si>
  <si>
    <t xml:space="preserve">Quarterly Dashboards </t>
  </si>
  <si>
    <t>Adult Services</t>
  </si>
  <si>
    <t xml:space="preserve">Graphs </t>
  </si>
  <si>
    <t xml:space="preserve">Year to Date Dashboards </t>
  </si>
  <si>
    <t xml:space="preserve">Wait (weeks) for new patients to receive a first appointment with local and visiting consultant at the end of this quarter.  </t>
  </si>
  <si>
    <t xml:space="preserve">Graph 2 Number of overdue follow-up backlogs at the end of the quarter </t>
  </si>
  <si>
    <t xml:space="preserve">Graph 3 DNA Rate (%) </t>
  </si>
  <si>
    <t xml:space="preserve">Year to Date graphs </t>
  </si>
  <si>
    <t>Reporting Quarter</t>
  </si>
  <si>
    <t>Reporting Year</t>
  </si>
  <si>
    <t>Adults/Paeds</t>
  </si>
  <si>
    <t>0-2 mnth</t>
  </si>
  <si>
    <t>Total Follow up</t>
  </si>
  <si>
    <t>Total overdue &gt;3 mnth</t>
  </si>
  <si>
    <t>Total Overdue &gt;3 mnth</t>
  </si>
  <si>
    <t>0-2 mths (%)</t>
  </si>
  <si>
    <t>Total follow-up</t>
  </si>
  <si>
    <t xml:space="preserve">Outpatient reporting template description </t>
  </si>
  <si>
    <t xml:space="preserve">Measure definitiation </t>
  </si>
  <si>
    <t>Targets</t>
  </si>
  <si>
    <t xml:space="preserve">Proposed changes </t>
  </si>
  <si>
    <t>Waiting time (weeks) for new patients (local consultant and visiting specialist) at end of reporting quarter</t>
  </si>
  <si>
    <t>Local consultant: Waiting time (weeks) for new routine patients (local consultant)</t>
  </si>
  <si>
    <t>≥18wks</t>
  </si>
  <si>
    <t>12-18wks</t>
  </si>
  <si>
    <t>≤12wks</t>
  </si>
  <si>
    <t xml:space="preserve">Red, Amber and Green targets based on NHS England RTT targets. Please note that WHSSC/NHS Wales performance RTT target is 16 weeks </t>
  </si>
  <si>
    <t>Visiting specialist: Waiting time (weeks) for new routine patients</t>
  </si>
  <si>
    <t>Overdue Follow up backlogs - local consultant at end of reporting quarter</t>
  </si>
  <si>
    <t>Total no. of overdue follow ups (local consultant)</t>
  </si>
  <si>
    <t>No. &amp; % of overdue follow ups; 3-5 months</t>
  </si>
  <si>
    <t>No. &amp; % of overdue follow ups; 6-12 months</t>
  </si>
  <si>
    <r>
      <t xml:space="preserve">No. &amp; % of overdue follow ups; </t>
    </r>
    <r>
      <rPr>
        <sz val="11"/>
        <color theme="1"/>
        <rFont val="Calibri"/>
        <family val="2"/>
      </rPr>
      <t>≥12</t>
    </r>
    <r>
      <rPr>
        <sz val="11"/>
        <color theme="1"/>
        <rFont val="Calibri"/>
        <family val="2"/>
        <scheme val="minor"/>
      </rPr>
      <t xml:space="preserve"> months</t>
    </r>
  </si>
  <si>
    <t>n/a</t>
  </si>
  <si>
    <t xml:space="preserve">Previously measures follow up waiting times, wide variation on how this was measured, often an estimate. Easier for providers to access total nos. in follow up backlog </t>
  </si>
  <si>
    <t>Overdue Follow up backlogs - visiting specialist at end of reporting quarter</t>
  </si>
  <si>
    <t>DNA rate (%) - local consultant for reporting quarter</t>
  </si>
  <si>
    <t>DNA rate (%) - visiting specialist for reporting quarter</t>
  </si>
  <si>
    <t xml:space="preserve">% of patients/appointments recorded as a DNA local consultant appointment </t>
  </si>
  <si>
    <t xml:space="preserve">% of patients/appointments recorded as a DNA visiting specialist appointment </t>
  </si>
  <si>
    <t xml:space="preserve">Previously this had been merged into one figure for DNA rate that merged DNA rates for both local consultant and visiting consultant. New dashboard seperates this out. </t>
  </si>
  <si>
    <t>Adults DNA</t>
  </si>
  <si>
    <t>For further information please contact;</t>
  </si>
  <si>
    <t>Paediatric Services</t>
  </si>
  <si>
    <t>Paediatrics DNA</t>
  </si>
  <si>
    <t xml:space="preserve">When ordering select the whole of the orange box with the black outline. </t>
  </si>
  <si>
    <t>Follow the instructions in red for how to order each table</t>
  </si>
  <si>
    <t xml:space="preserve">If you need the centres to return to the same order as the dashboard, order by the numbers in the first column of the table </t>
  </si>
  <si>
    <t>Rachel Burrows, CHD Network Support Manager  (Rachel.Burrows2@uhbw.nhs.uk)</t>
  </si>
  <si>
    <t>GRAPH DATA Q1</t>
  </si>
  <si>
    <t>Total Overdue Follow up</t>
  </si>
  <si>
    <t xml:space="preserve">Select your unit here:  </t>
  </si>
  <si>
    <t xml:space="preserve">Select your unit here: </t>
  </si>
  <si>
    <t>No data</t>
  </si>
  <si>
    <t xml:space="preserve">Order each table by the total value (initially high to low so N/A at top) and then rest by low to high </t>
  </si>
  <si>
    <t>Aneurin Bevan UHB, Nevill Hall &amp; Royal Gwent Hospitals</t>
  </si>
  <si>
    <t>Cardiff &amp; Vale UHB, Noah’s Ark / University Hospital Wales</t>
  </si>
  <si>
    <t>Cwm Taf Morgannwg UHB, Princess of Wales Hospital</t>
  </si>
  <si>
    <t xml:space="preserve">Cwm Taf Morgannwg UHB, Royal Glamorgan Hospital </t>
  </si>
  <si>
    <t>Cwm Taf Morgannwg UHB, Prince Charles Hospital</t>
  </si>
  <si>
    <t>Swansea Bay UHB, Morriston / Singleton Hospitals</t>
  </si>
  <si>
    <t>------------------------------</t>
  </si>
  <si>
    <t>Bristol, Bristol Heart Institute / Bristol Royal Hospital for Children</t>
  </si>
  <si>
    <t>Hywel Dda UHB, Glangwilli Hospital</t>
  </si>
  <si>
    <t>Hywel Dda UHB, Withybush Hospital</t>
  </si>
  <si>
    <t>Total Overdue</t>
  </si>
  <si>
    <t xml:space="preserve">Overdue Follow-up Backlogs </t>
  </si>
  <si>
    <r>
      <rPr>
        <i/>
        <sz val="11"/>
        <color theme="0"/>
        <rFont val="Calibri"/>
        <family val="2"/>
        <scheme val="minor"/>
      </rPr>
      <t xml:space="preserve">Note: Bristol and Cardiff </t>
    </r>
    <r>
      <rPr>
        <b/>
        <i/>
        <sz val="11"/>
        <color theme="0"/>
        <rFont val="Calibri"/>
        <family val="2"/>
        <scheme val="minor"/>
      </rPr>
      <t>do not</t>
    </r>
    <r>
      <rPr>
        <i/>
        <sz val="11"/>
        <color theme="0"/>
        <rFont val="Calibri"/>
        <family val="2"/>
        <scheme val="minor"/>
      </rPr>
      <t xml:space="preserve"> have visiting consultants</t>
    </r>
  </si>
  <si>
    <t>Low</t>
  </si>
  <si>
    <t>Median</t>
  </si>
  <si>
    <t>High</t>
  </si>
  <si>
    <t>This Quarter (calculated)</t>
  </si>
  <si>
    <t>Calculated from tables above</t>
  </si>
  <si>
    <t>Transfer calculated values into table below (type or 'PasteAsValues')</t>
  </si>
  <si>
    <t>Transfer calculated values into table below (type manually or 'PasteAsValues')</t>
  </si>
  <si>
    <t>Adults Outpatients Dashboard: Reporting period:  Q3 (Oct - Dec 2021)</t>
  </si>
  <si>
    <t>Paediatrics Outpatients Dashboard: Reporting period:  Q3 (Oct - Dec 2021)</t>
  </si>
  <si>
    <t>Quarter 3 (Oct - Dec) 2021/22</t>
  </si>
  <si>
    <t>Adults Outpatients Dashboard: Reporting period:  Q4 (Jan - Mar 2021)</t>
  </si>
  <si>
    <t>Paediatrics Outpatients Dashboard: Reporting period:  Q4 (Jan - Mar 2021)</t>
  </si>
  <si>
    <t>Quarter 4 (Jan - Mar) 2021/22</t>
  </si>
  <si>
    <t>GRAPH DATA Q4</t>
  </si>
  <si>
    <t>Total 3+</t>
  </si>
  <si>
    <t xml:space="preserve">Total 3+ </t>
  </si>
  <si>
    <t>GRAPH DATA Q3</t>
  </si>
  <si>
    <t>GRAPH DATA Q2</t>
  </si>
  <si>
    <t>Paediatrics</t>
  </si>
  <si>
    <t xml:space="preserve">Order each table by the % value (initially high to low so N/A at top) and then rest by low to high </t>
  </si>
  <si>
    <t xml:space="preserve">Outpatients Dashboard 2022/23 </t>
  </si>
  <si>
    <r>
      <t xml:space="preserve">Adults Outpatients Dashboard: </t>
    </r>
    <r>
      <rPr>
        <sz val="18"/>
        <color indexed="8"/>
        <rFont val="Calibri"/>
        <family val="2"/>
      </rPr>
      <t>Reporting period:  Q1 (Apr - Jun 2022) - Please note that this is a mid-quarter snapshot</t>
    </r>
  </si>
  <si>
    <r>
      <t xml:space="preserve">Paediatrics Outpatients Dashboard: </t>
    </r>
    <r>
      <rPr>
        <sz val="18"/>
        <color indexed="8"/>
        <rFont val="Calibri"/>
        <family val="2"/>
      </rPr>
      <t>Reporting period:  Q1 (Apr - Jun 2022) - Please note that this is a mid-quarter snapshot</t>
    </r>
  </si>
  <si>
    <t>Quarter 1 (Apr - Jun) 2022/23</t>
  </si>
  <si>
    <t>Q1 (Apr-Jun '22)</t>
  </si>
  <si>
    <t>Q2 (Jul-Sept '22)</t>
  </si>
  <si>
    <t>Q3 (Oct- Dec'22)</t>
  </si>
  <si>
    <t xml:space="preserve">Q4 (Jan-Mar'23) </t>
  </si>
  <si>
    <t xml:space="preserve">Q1 - Apr to Jun </t>
  </si>
  <si>
    <t>Bristol, Bristol Heart Institute</t>
  </si>
  <si>
    <t>N/A</t>
  </si>
  <si>
    <t xml:space="preserve">Bristol, Bristol Royal Hospital for Children </t>
  </si>
  <si>
    <t xml:space="preserve">Q2 - Jul to Sep </t>
  </si>
  <si>
    <t>Quarter 2 (Jul - Sep) 2022/23</t>
  </si>
  <si>
    <t>Paediatrics Outpatients Dashboard: Reporting period:  Q2 (Jul - Sep 2022)</t>
  </si>
  <si>
    <t>Adults Outpatients Dashboard: Reporting period:  Q2 (Jul - Sep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</si>
</sst>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(0%\)"/>
  </numFmts>
  <fonts count="6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sz val="10"/>
      <color indexed="8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theme="0"/>
      <name val="Calibri"/>
      <family val="2"/>
    </font>
    <font>
      <sz val="12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7C2855"/>
      <name val="Calibri"/>
      <family val="2"/>
      <scheme val="minor"/>
    </font>
    <font>
      <sz val="11"/>
      <color indexed="8"/>
      <name val="Calibri"/>
      <family val="2"/>
    </font>
    <font>
      <sz val="10"/>
      <name val="Calibri"/>
      <family val="2"/>
      <scheme val="minor"/>
    </font>
    <font>
      <sz val="11"/>
      <name val="Calibri"/>
      <family val="2"/>
    </font>
    <font>
      <b/>
      <u/>
      <sz val="11"/>
      <color indexed="8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0"/>
      <name val="Calibri"/>
      <family val="2"/>
      <scheme val="minor"/>
    </font>
    <font>
      <sz val="11"/>
      <color theme="1"/>
      <name val="Calibri"/>
      <family val="2"/>
    </font>
    <font>
      <i/>
      <sz val="12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8"/>
      <color theme="0"/>
      <name val="Calibri"/>
      <family val="2"/>
    </font>
    <font>
      <sz val="11"/>
      <color rgb="FF1F497D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9C0006"/>
      <name val="Calibri"/>
      <family val="2"/>
    </font>
    <font>
      <sz val="11"/>
      <color rgb="FF006100"/>
      <name val="Calibri"/>
      <family val="2"/>
    </font>
    <font>
      <sz val="11"/>
      <color rgb="FF9C6500"/>
      <name val="Calibri"/>
      <family val="2"/>
    </font>
    <font>
      <b/>
      <sz val="11"/>
      <color indexed="8"/>
      <name val="Calibri"/>
      <family val="2"/>
    </font>
    <font>
      <i/>
      <u/>
      <sz val="11"/>
      <color rgb="FF7C2855"/>
      <name val="Calibri"/>
      <family val="2"/>
      <scheme val="minor"/>
    </font>
    <font>
      <b/>
      <sz val="18"/>
      <color rgb="FF7C2855"/>
      <name val="Calibri"/>
      <family val="2"/>
    </font>
    <font>
      <sz val="16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8"/>
      <color theme="0"/>
      <name val="Calibri"/>
      <family val="2"/>
    </font>
    <font>
      <b/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i/>
      <sz val="14"/>
      <color rgb="FFFF0000"/>
      <name val="Calibri"/>
      <family val="2"/>
      <scheme val="minor"/>
    </font>
    <font>
      <b/>
      <sz val="12"/>
      <name val="Calibri"/>
      <family val="2"/>
      <scheme val="minor"/>
    </font>
    <font>
      <u/>
      <sz val="14"/>
      <color theme="0"/>
      <name val="Calibri"/>
      <family val="2"/>
      <scheme val="minor"/>
    </font>
    <font>
      <b/>
      <sz val="18"/>
      <color indexed="8"/>
      <name val="Calibri"/>
      <family val="2"/>
    </font>
    <font>
      <sz val="18"/>
      <color indexed="8"/>
      <name val="Calibri"/>
      <family val="2"/>
    </font>
    <font>
      <b/>
      <sz val="12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0"/>
      <name val="Calibri Light"/>
      <family val="2"/>
    </font>
    <font>
      <b/>
      <u/>
      <sz val="12"/>
      <color theme="0"/>
      <name val="Calibri Light"/>
      <family val="2"/>
    </font>
    <font>
      <b/>
      <u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2"/>
      <color rgb="FF1F497D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C2855"/>
        <bgColor indexed="64"/>
      </patternFill>
    </fill>
    <fill>
      <patternFill patternType="solid">
        <fgColor rgb="FFF1D3E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2307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7CE"/>
        <bgColor indexed="64"/>
      </patternFill>
    </fill>
  </fills>
  <borders count="69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 style="thick">
        <color theme="0"/>
      </right>
      <top/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/>
      <right style="thick">
        <color theme="0"/>
      </right>
      <top/>
      <bottom/>
      <diagonal/>
    </border>
    <border>
      <left style="thin">
        <color rgb="FF7C2855"/>
      </left>
      <right/>
      <top style="thin">
        <color rgb="FF7C2855"/>
      </top>
      <bottom/>
      <diagonal/>
    </border>
    <border>
      <left/>
      <right/>
      <top style="thin">
        <color rgb="FF7C2855"/>
      </top>
      <bottom/>
      <diagonal/>
    </border>
    <border>
      <left/>
      <right style="thin">
        <color rgb="FF7C2855"/>
      </right>
      <top style="thin">
        <color rgb="FF7C2855"/>
      </top>
      <bottom/>
      <diagonal/>
    </border>
    <border>
      <left style="thin">
        <color rgb="FF7C2855"/>
      </left>
      <right/>
      <top/>
      <bottom/>
      <diagonal/>
    </border>
    <border>
      <left/>
      <right style="thin">
        <color rgb="FF7C2855"/>
      </right>
      <top/>
      <bottom/>
      <diagonal/>
    </border>
    <border>
      <left style="thin">
        <color rgb="FF7C2855"/>
      </left>
      <right/>
      <top/>
      <bottom style="thin">
        <color rgb="FF7C2855"/>
      </bottom>
      <diagonal/>
    </border>
    <border>
      <left/>
      <right/>
      <top/>
      <bottom style="thin">
        <color rgb="FF7C2855"/>
      </bottom>
      <diagonal/>
    </border>
    <border>
      <left/>
      <right style="thin">
        <color rgb="FF7C2855"/>
      </right>
      <top/>
      <bottom style="thin">
        <color rgb="FF7C2855"/>
      </bottom>
      <diagonal/>
    </border>
    <border>
      <left style="thick">
        <color theme="0"/>
      </left>
      <right/>
      <top style="thick">
        <color theme="0"/>
      </top>
      <bottom style="hair">
        <color theme="0" tint="-0.34998626667073579"/>
      </bottom>
      <diagonal/>
    </border>
    <border>
      <left/>
      <right/>
      <top style="thick">
        <color theme="0"/>
      </top>
      <bottom style="hair">
        <color theme="0" tint="-0.34998626667073579"/>
      </bottom>
      <diagonal/>
    </border>
    <border>
      <left/>
      <right style="thick">
        <color theme="0"/>
      </right>
      <top style="thick">
        <color theme="0"/>
      </top>
      <bottom style="hair">
        <color theme="0" tint="-0.34998626667073579"/>
      </bottom>
      <diagonal/>
    </border>
    <border>
      <left style="thick">
        <color theme="0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thick">
        <color theme="0"/>
      </right>
      <top style="hair">
        <color theme="0" tint="-0.34998626667073579"/>
      </top>
      <bottom style="hair">
        <color theme="0" tint="-0.34998626667073579"/>
      </bottom>
      <diagonal/>
    </border>
    <border>
      <left style="thick">
        <color theme="0"/>
      </left>
      <right/>
      <top style="hair">
        <color theme="0" tint="-0.34998626667073579"/>
      </top>
      <bottom style="thick">
        <color theme="0"/>
      </bottom>
      <diagonal/>
    </border>
    <border>
      <left/>
      <right/>
      <top style="hair">
        <color theme="0" tint="-0.34998626667073579"/>
      </top>
      <bottom style="thick">
        <color theme="0"/>
      </bottom>
      <diagonal/>
    </border>
    <border>
      <left/>
      <right style="thick">
        <color theme="0"/>
      </right>
      <top style="hair">
        <color theme="0" tint="-0.34998626667073579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/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ck">
        <color theme="0"/>
      </right>
      <top/>
      <bottom style="thick">
        <color theme="0"/>
      </bottom>
      <diagonal/>
    </border>
    <border>
      <left style="thin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theme="0"/>
      </left>
      <right/>
      <top style="hair">
        <color theme="0" tint="-0.34998626667073579"/>
      </top>
      <bottom/>
      <diagonal/>
    </border>
    <border>
      <left/>
      <right/>
      <top style="hair">
        <color theme="0" tint="-0.34998626667073579"/>
      </top>
      <bottom/>
      <diagonal/>
    </border>
    <border>
      <left/>
      <right style="thick">
        <color theme="0"/>
      </right>
      <top style="hair">
        <color theme="0" tint="-0.34998626667073579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ashed">
        <color theme="1" tint="0.24994659260841701"/>
      </left>
      <right style="dashed">
        <color theme="1" tint="0.24994659260841701"/>
      </right>
      <top style="dashed">
        <color theme="1" tint="0.24994659260841701"/>
      </top>
      <bottom style="dashed">
        <color theme="1" tint="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1" fillId="0" borderId="0"/>
    <xf numFmtId="0" fontId="14" fillId="9" borderId="0" applyNumberFormat="0" applyBorder="0" applyAlignment="0" applyProtection="0"/>
    <xf numFmtId="0" fontId="15" fillId="10" borderId="0" applyNumberFormat="0" applyBorder="0" applyAlignment="0" applyProtection="0"/>
    <xf numFmtId="0" fontId="16" fillId="11" borderId="0" applyNumberFormat="0" applyBorder="0" applyAlignment="0" applyProtection="0"/>
    <xf numFmtId="0" fontId="19" fillId="0" borderId="0" applyNumberFormat="0" applyFill="0" applyBorder="0" applyAlignment="0" applyProtection="0"/>
    <xf numFmtId="0" fontId="26" fillId="0" borderId="0"/>
    <xf numFmtId="0" fontId="27" fillId="0" borderId="0"/>
    <xf numFmtId="9" fontId="1" fillId="0" borderId="0" applyFont="0" applyFill="0" applyBorder="0" applyAlignment="0" applyProtection="0"/>
  </cellStyleXfs>
  <cellXfs count="46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7" fillId="4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12" fillId="6" borderId="0" xfId="0" applyFont="1" applyFill="1"/>
    <xf numFmtId="0" fontId="0" fillId="8" borderId="0" xfId="0" applyFill="1"/>
    <xf numFmtId="0" fontId="0" fillId="12" borderId="0" xfId="0" applyFill="1" applyAlignment="1">
      <alignment vertical="top"/>
    </xf>
    <xf numFmtId="0" fontId="0" fillId="12" borderId="0" xfId="0" applyFill="1"/>
    <xf numFmtId="9" fontId="3" fillId="0" borderId="0" xfId="1" applyNumberFormat="1" applyFont="1" applyAlignment="1" applyProtection="1">
      <alignment vertical="top"/>
      <protection hidden="1"/>
    </xf>
    <xf numFmtId="9" fontId="3" fillId="0" borderId="0" xfId="1" applyNumberFormat="1" applyFont="1" applyAlignment="1" applyProtection="1">
      <alignment horizontal="left" vertical="top"/>
      <protection hidden="1"/>
    </xf>
    <xf numFmtId="9" fontId="21" fillId="0" borderId="0" xfId="1" applyNumberFormat="1" applyFont="1" applyProtection="1">
      <protection hidden="1"/>
    </xf>
    <xf numFmtId="9" fontId="24" fillId="0" borderId="0" xfId="1" applyNumberFormat="1" applyFont="1" applyProtection="1">
      <protection hidden="1"/>
    </xf>
    <xf numFmtId="9" fontId="21" fillId="0" borderId="0" xfId="1" applyNumberFormat="1" applyFont="1" applyFill="1" applyBorder="1" applyProtection="1">
      <protection hidden="1"/>
    </xf>
    <xf numFmtId="9" fontId="4" fillId="0" borderId="0" xfId="1" applyNumberFormat="1" applyFont="1" applyFill="1" applyBorder="1" applyAlignment="1" applyProtection="1">
      <alignment horizontal="center" vertical="center"/>
      <protection hidden="1"/>
    </xf>
    <xf numFmtId="9" fontId="21" fillId="0" borderId="0" xfId="1" applyNumberFormat="1" applyFont="1" applyFill="1" applyProtection="1">
      <protection hidden="1"/>
    </xf>
    <xf numFmtId="1" fontId="25" fillId="0" borderId="0" xfId="1" applyNumberFormat="1" applyFont="1" applyProtection="1">
      <protection hidden="1"/>
    </xf>
    <xf numFmtId="2" fontId="21" fillId="0" borderId="0" xfId="1" applyNumberFormat="1" applyFont="1" applyProtection="1">
      <protection hidden="1"/>
    </xf>
    <xf numFmtId="0" fontId="23" fillId="0" borderId="0" xfId="0" applyFont="1" applyFill="1" applyBorder="1" applyProtection="1">
      <protection hidden="1"/>
    </xf>
    <xf numFmtId="0" fontId="23" fillId="0" borderId="0" xfId="0" applyFont="1" applyProtection="1">
      <protection hidden="1"/>
    </xf>
    <xf numFmtId="0" fontId="0" fillId="0" borderId="0" xfId="0" applyAlignment="1">
      <alignment horizontal="center" vertical="center" wrapText="1"/>
    </xf>
    <xf numFmtId="0" fontId="6" fillId="12" borderId="1" xfId="0" applyFont="1" applyFill="1" applyBorder="1" applyAlignment="1">
      <alignment horizontal="left" vertical="center" wrapText="1" indent="1"/>
    </xf>
    <xf numFmtId="0" fontId="6" fillId="13" borderId="1" xfId="0" applyFont="1" applyFill="1" applyBorder="1" applyAlignment="1">
      <alignment horizontal="left" vertical="center" wrapText="1" indent="1"/>
    </xf>
    <xf numFmtId="0" fontId="6" fillId="12" borderId="1" xfId="2" applyFont="1" applyFill="1" applyBorder="1" applyAlignment="1">
      <alignment horizontal="left" vertical="center" wrapText="1" indent="1"/>
    </xf>
    <xf numFmtId="0" fontId="6" fillId="13" borderId="1" xfId="2" applyFont="1" applyFill="1" applyBorder="1" applyAlignment="1">
      <alignment horizontal="left" vertical="center" wrapText="1" indent="1"/>
    </xf>
    <xf numFmtId="0" fontId="6" fillId="13" borderId="1" xfId="3" applyFont="1" applyFill="1" applyBorder="1" applyAlignment="1">
      <alignment horizontal="left" vertical="center" wrapText="1" indent="1"/>
    </xf>
    <xf numFmtId="0" fontId="6" fillId="12" borderId="1" xfId="4" applyFont="1" applyFill="1" applyBorder="1" applyAlignment="1">
      <alignment horizontal="left" vertical="center" wrapText="1" indent="1"/>
    </xf>
    <xf numFmtId="0" fontId="6" fillId="13" borderId="1" xfId="4" applyFont="1" applyFill="1" applyBorder="1" applyAlignment="1">
      <alignment horizontal="left" vertical="center" wrapText="1" indent="1"/>
    </xf>
    <xf numFmtId="0" fontId="6" fillId="12" borderId="1" xfId="3" applyFont="1" applyFill="1" applyBorder="1" applyAlignment="1">
      <alignment horizontal="left" vertical="center" wrapText="1" indent="1"/>
    </xf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 applyFont="1"/>
    <xf numFmtId="0" fontId="0" fillId="12" borderId="0" xfId="0" applyFont="1" applyFill="1"/>
    <xf numFmtId="0" fontId="0" fillId="0" borderId="0" xfId="0" applyFill="1"/>
    <xf numFmtId="9" fontId="31" fillId="0" borderId="0" xfId="1" applyNumberFormat="1" applyFont="1" applyAlignment="1" applyProtection="1">
      <protection hidden="1"/>
    </xf>
    <xf numFmtId="0" fontId="29" fillId="7" borderId="3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9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1" fontId="0" fillId="2" borderId="0" xfId="0" applyNumberFormat="1" applyFill="1" applyAlignment="1">
      <alignment horizontal="center" vertical="center" wrapText="1"/>
    </xf>
    <xf numFmtId="0" fontId="33" fillId="0" borderId="0" xfId="0" applyFont="1" applyAlignment="1">
      <alignment vertical="center"/>
    </xf>
    <xf numFmtId="1" fontId="0" fillId="0" borderId="0" xfId="0" applyNumberFormat="1" applyFill="1" applyAlignment="1">
      <alignment horizontal="center" vertical="center" wrapText="1"/>
    </xf>
    <xf numFmtId="0" fontId="7" fillId="14" borderId="0" xfId="0" applyFont="1" applyFill="1" applyAlignment="1">
      <alignment horizontal="center" vertical="center"/>
    </xf>
    <xf numFmtId="0" fontId="7" fillId="14" borderId="0" xfId="0" applyFont="1" applyFill="1" applyAlignment="1">
      <alignment horizontal="left" vertical="top"/>
    </xf>
    <xf numFmtId="0" fontId="0" fillId="0" borderId="0" xfId="0" applyFill="1" applyAlignment="1">
      <alignment horizontal="left" vertical="top"/>
    </xf>
    <xf numFmtId="0" fontId="6" fillId="12" borderId="1" xfId="0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center" vertical="center" wrapText="1"/>
    </xf>
    <xf numFmtId="0" fontId="6" fillId="12" borderId="1" xfId="2" applyFont="1" applyFill="1" applyBorder="1" applyAlignment="1">
      <alignment horizontal="center" vertical="center" wrapText="1"/>
    </xf>
    <xf numFmtId="0" fontId="6" fillId="13" borderId="1" xfId="2" applyFont="1" applyFill="1" applyBorder="1" applyAlignment="1">
      <alignment horizontal="center" vertical="center" wrapText="1"/>
    </xf>
    <xf numFmtId="0" fontId="6" fillId="13" borderId="1" xfId="3" applyFont="1" applyFill="1" applyBorder="1" applyAlignment="1">
      <alignment horizontal="center" vertical="center" wrapText="1"/>
    </xf>
    <xf numFmtId="0" fontId="6" fillId="12" borderId="1" xfId="4" applyFont="1" applyFill="1" applyBorder="1" applyAlignment="1">
      <alignment horizontal="center" vertical="center" wrapText="1"/>
    </xf>
    <xf numFmtId="0" fontId="6" fillId="13" borderId="1" xfId="4" applyFont="1" applyFill="1" applyBorder="1" applyAlignment="1">
      <alignment horizontal="center" vertical="center" wrapText="1"/>
    </xf>
    <xf numFmtId="0" fontId="6" fillId="12" borderId="1" xfId="3" applyFont="1" applyFill="1" applyBorder="1" applyAlignment="1">
      <alignment horizontal="center" vertical="center" wrapText="1"/>
    </xf>
    <xf numFmtId="1" fontId="22" fillId="12" borderId="38" xfId="0" applyNumberFormat="1" applyFont="1" applyFill="1" applyBorder="1" applyAlignment="1" applyProtection="1">
      <alignment horizontal="center" vertical="center" wrapText="1"/>
      <protection hidden="1"/>
    </xf>
    <xf numFmtId="1" fontId="22" fillId="13" borderId="38" xfId="0" applyNumberFormat="1" applyFont="1" applyFill="1" applyBorder="1" applyAlignment="1" applyProtection="1">
      <alignment horizontal="center" vertical="center" wrapText="1"/>
      <protection hidden="1"/>
    </xf>
    <xf numFmtId="9" fontId="22" fillId="12" borderId="38" xfId="0" applyNumberFormat="1" applyFont="1" applyFill="1" applyBorder="1" applyAlignment="1" applyProtection="1">
      <alignment horizontal="center" vertical="center" wrapText="1"/>
      <protection hidden="1"/>
    </xf>
    <xf numFmtId="9" fontId="22" fillId="12" borderId="45" xfId="0" applyNumberFormat="1" applyFont="1" applyFill="1" applyBorder="1" applyAlignment="1" applyProtection="1">
      <alignment horizontal="center" vertical="center" wrapText="1"/>
      <protection hidden="1"/>
    </xf>
    <xf numFmtId="9" fontId="22" fillId="13" borderId="38" xfId="0" applyNumberFormat="1" applyFont="1" applyFill="1" applyBorder="1" applyAlignment="1" applyProtection="1">
      <alignment horizontal="center" vertical="center" wrapText="1"/>
      <protection hidden="1"/>
    </xf>
    <xf numFmtId="9" fontId="22" fillId="13" borderId="45" xfId="0" applyNumberFormat="1" applyFont="1" applyFill="1" applyBorder="1" applyAlignment="1" applyProtection="1">
      <alignment horizontal="center" vertical="center" wrapText="1"/>
      <protection hidden="1"/>
    </xf>
    <xf numFmtId="1" fontId="22" fillId="12" borderId="45" xfId="0" applyNumberFormat="1" applyFont="1" applyFill="1" applyBorder="1" applyAlignment="1" applyProtection="1">
      <alignment horizontal="center" vertical="center" wrapText="1"/>
      <protection hidden="1"/>
    </xf>
    <xf numFmtId="1" fontId="22" fillId="13" borderId="45" xfId="0" applyNumberFormat="1" applyFont="1" applyFill="1" applyBorder="1" applyAlignment="1" applyProtection="1">
      <alignment horizontal="center" vertical="center" wrapText="1"/>
      <protection hidden="1"/>
    </xf>
    <xf numFmtId="0" fontId="29" fillId="7" borderId="53" xfId="0" applyFont="1" applyFill="1" applyBorder="1" applyAlignment="1">
      <alignment horizontal="center" vertical="center" wrapText="1"/>
    </xf>
    <xf numFmtId="0" fontId="2" fillId="15" borderId="0" xfId="0" applyFont="1" applyFill="1"/>
    <xf numFmtId="0" fontId="0" fillId="15" borderId="0" xfId="0" applyFill="1"/>
    <xf numFmtId="0" fontId="33" fillId="0" borderId="0" xfId="0" applyFont="1" applyFill="1" applyAlignment="1">
      <alignment vertical="center"/>
    </xf>
    <xf numFmtId="1" fontId="29" fillId="0" borderId="0" xfId="0" applyNumberFormat="1" applyFont="1" applyFill="1" applyAlignment="1">
      <alignment horizontal="center" vertical="center" wrapText="1"/>
    </xf>
    <xf numFmtId="0" fontId="2" fillId="12" borderId="0" xfId="0" applyFont="1" applyFill="1" applyAlignment="1">
      <alignment horizontal="left" vertical="center" wrapText="1"/>
    </xf>
    <xf numFmtId="0" fontId="0" fillId="5" borderId="0" xfId="0" applyFill="1"/>
    <xf numFmtId="0" fontId="20" fillId="0" borderId="0" xfId="0" applyFont="1" applyFill="1"/>
    <xf numFmtId="0" fontId="17" fillId="6" borderId="0" xfId="0" applyFont="1" applyFill="1" applyAlignment="1">
      <alignment vertical="center"/>
    </xf>
    <xf numFmtId="0" fontId="41" fillId="6" borderId="0" xfId="0" applyFont="1" applyFill="1" applyAlignment="1">
      <alignment vertical="center"/>
    </xf>
    <xf numFmtId="0" fontId="0" fillId="0" borderId="19" xfId="0" applyBorder="1" applyAlignment="1">
      <alignment vertical="center"/>
    </xf>
    <xf numFmtId="9" fontId="32" fillId="8" borderId="0" xfId="1" applyNumberFormat="1" applyFont="1" applyFill="1" applyAlignment="1" applyProtection="1">
      <alignment vertical="center"/>
      <protection hidden="1"/>
    </xf>
    <xf numFmtId="9" fontId="3" fillId="8" borderId="0" xfId="1" applyNumberFormat="1" applyFont="1" applyFill="1" applyAlignment="1" applyProtection="1">
      <alignment vertical="top"/>
      <protection hidden="1"/>
    </xf>
    <xf numFmtId="0" fontId="0" fillId="8" borderId="0" xfId="0" applyFont="1" applyFill="1"/>
    <xf numFmtId="9" fontId="10" fillId="8" borderId="0" xfId="1" applyNumberFormat="1" applyFont="1" applyFill="1" applyAlignment="1" applyProtection="1">
      <alignment vertical="center"/>
      <protection hidden="1"/>
    </xf>
    <xf numFmtId="0" fontId="0" fillId="5" borderId="0" xfId="0" applyFill="1" applyAlignment="1">
      <alignment vertical="top"/>
    </xf>
    <xf numFmtId="0" fontId="0" fillId="5" borderId="0" xfId="0" applyFont="1" applyFill="1"/>
    <xf numFmtId="0" fontId="2" fillId="12" borderId="0" xfId="0" applyFont="1" applyFill="1" applyAlignment="1">
      <alignment vertical="top"/>
    </xf>
    <xf numFmtId="0" fontId="0" fillId="0" borderId="0" xfId="0" applyFill="1" applyAlignment="1">
      <alignment vertical="top"/>
    </xf>
    <xf numFmtId="0" fontId="0" fillId="0" borderId="0" xfId="0" applyFont="1" applyFill="1"/>
    <xf numFmtId="0" fontId="0" fillId="0" borderId="0" xfId="0" applyAlignment="1"/>
    <xf numFmtId="9" fontId="3" fillId="0" borderId="0" xfId="1" applyNumberFormat="1" applyFont="1" applyAlignment="1" applyProtection="1">
      <protection hidden="1"/>
    </xf>
    <xf numFmtId="9" fontId="3" fillId="0" borderId="0" xfId="1" applyNumberFormat="1" applyFont="1" applyAlignment="1" applyProtection="1">
      <alignment horizontal="left"/>
      <protection hidden="1"/>
    </xf>
    <xf numFmtId="9" fontId="21" fillId="0" borderId="0" xfId="1" applyNumberFormat="1" applyFont="1" applyAlignment="1" applyProtection="1">
      <protection hidden="1"/>
    </xf>
    <xf numFmtId="9" fontId="43" fillId="8" borderId="0" xfId="1" applyNumberFormat="1" applyFont="1" applyFill="1" applyAlignment="1" applyProtection="1">
      <alignment vertical="center"/>
      <protection hidden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6" fillId="16" borderId="0" xfId="0" applyFont="1" applyFill="1"/>
    <xf numFmtId="0" fontId="41" fillId="16" borderId="0" xfId="0" applyFont="1" applyFill="1"/>
    <xf numFmtId="0" fontId="8" fillId="16" borderId="0" xfId="0" applyFont="1" applyFill="1"/>
    <xf numFmtId="0" fontId="47" fillId="16" borderId="0" xfId="0" applyFont="1" applyFill="1"/>
    <xf numFmtId="0" fontId="8" fillId="0" borderId="0" xfId="0" applyFont="1" applyFill="1"/>
    <xf numFmtId="0" fontId="48" fillId="0" borderId="0" xfId="0" applyFont="1" applyFill="1"/>
    <xf numFmtId="9" fontId="0" fillId="0" borderId="0" xfId="0" applyNumberFormat="1" applyFill="1"/>
    <xf numFmtId="0" fontId="48" fillId="0" borderId="0" xfId="0" applyFont="1" applyAlignment="1">
      <alignment vertical="center"/>
    </xf>
    <xf numFmtId="9" fontId="35" fillId="10" borderId="14" xfId="3" applyNumberFormat="1" applyFont="1" applyBorder="1" applyAlignment="1" applyProtection="1">
      <alignment horizontal="center" vertical="center"/>
      <protection hidden="1"/>
    </xf>
    <xf numFmtId="9" fontId="16" fillId="11" borderId="15" xfId="4" applyNumberFormat="1" applyBorder="1" applyAlignment="1" applyProtection="1">
      <alignment horizontal="center" vertical="center"/>
      <protection locked="0" hidden="1"/>
    </xf>
    <xf numFmtId="9" fontId="36" fillId="9" borderId="16" xfId="2" applyNumberFormat="1" applyFont="1" applyBorder="1" applyAlignment="1" applyProtection="1">
      <alignment horizontal="center" vertical="center"/>
      <protection locked="0" hidden="1"/>
    </xf>
    <xf numFmtId="0" fontId="0" fillId="0" borderId="59" xfId="0" applyBorder="1"/>
    <xf numFmtId="0" fontId="0" fillId="0" borderId="60" xfId="0" applyBorder="1"/>
    <xf numFmtId="9" fontId="0" fillId="2" borderId="0" xfId="8" applyFont="1" applyFill="1" applyAlignment="1">
      <alignment horizontal="center" vertical="center" wrapText="1"/>
    </xf>
    <xf numFmtId="1" fontId="22" fillId="12" borderId="46" xfId="0" applyNumberFormat="1" applyFont="1" applyFill="1" applyBorder="1" applyAlignment="1" applyProtection="1">
      <alignment horizontal="center" vertical="center" wrapText="1"/>
      <protection hidden="1"/>
    </xf>
    <xf numFmtId="1" fontId="22" fillId="13" borderId="46" xfId="0" applyNumberFormat="1" applyFont="1" applyFill="1" applyBorder="1" applyAlignment="1" applyProtection="1">
      <alignment horizontal="center" vertical="center" wrapText="1"/>
      <protection hidden="1"/>
    </xf>
    <xf numFmtId="9" fontId="14" fillId="12" borderId="16" xfId="2" applyNumberFormat="1" applyFill="1" applyBorder="1" applyAlignment="1" applyProtection="1">
      <alignment horizontal="center" vertical="center"/>
      <protection locked="0" hidden="1"/>
    </xf>
    <xf numFmtId="9" fontId="32" fillId="8" borderId="0" xfId="1" applyNumberFormat="1" applyFont="1" applyFill="1" applyAlignment="1" applyProtection="1">
      <alignment horizontal="right" vertical="center"/>
      <protection hidden="1"/>
    </xf>
    <xf numFmtId="9" fontId="3" fillId="0" borderId="0" xfId="1" applyNumberFormat="1" applyFont="1" applyAlignment="1" applyProtection="1">
      <alignment horizontal="right"/>
      <protection hidden="1"/>
    </xf>
    <xf numFmtId="9" fontId="3" fillId="0" borderId="0" xfId="1" applyNumberFormat="1" applyFont="1" applyAlignment="1" applyProtection="1">
      <alignment horizontal="right" vertical="top"/>
      <protection hidden="1"/>
    </xf>
    <xf numFmtId="9" fontId="21" fillId="0" borderId="0" xfId="1" applyNumberFormat="1" applyFont="1" applyAlignment="1" applyProtection="1">
      <alignment horizontal="right"/>
      <protection hidden="1"/>
    </xf>
    <xf numFmtId="9" fontId="4" fillId="0" borderId="0" xfId="1" applyNumberFormat="1" applyFont="1" applyFill="1" applyBorder="1" applyAlignment="1" applyProtection="1">
      <alignment horizontal="right" vertical="center"/>
      <protection hidden="1"/>
    </xf>
    <xf numFmtId="1" fontId="25" fillId="0" borderId="0" xfId="1" applyNumberFormat="1" applyFont="1" applyAlignment="1" applyProtection="1">
      <alignment horizontal="right"/>
      <protection hidden="1"/>
    </xf>
    <xf numFmtId="0" fontId="0" fillId="0" borderId="0" xfId="0" applyAlignment="1">
      <alignment horizontal="right"/>
    </xf>
    <xf numFmtId="9" fontId="43" fillId="0" borderId="0" xfId="1" applyNumberFormat="1" applyFont="1" applyFill="1" applyAlignment="1" applyProtection="1">
      <alignment vertical="center"/>
      <protection hidden="1"/>
    </xf>
    <xf numFmtId="9" fontId="32" fillId="0" borderId="0" xfId="1" applyNumberFormat="1" applyFont="1" applyFill="1" applyAlignment="1" applyProtection="1">
      <alignment vertical="center"/>
      <protection hidden="1"/>
    </xf>
    <xf numFmtId="9" fontId="32" fillId="0" borderId="0" xfId="1" applyNumberFormat="1" applyFont="1" applyFill="1" applyAlignment="1" applyProtection="1">
      <alignment horizontal="right" vertical="center"/>
      <protection hidden="1"/>
    </xf>
    <xf numFmtId="0" fontId="50" fillId="6" borderId="63" xfId="5" applyFont="1" applyFill="1" applyBorder="1" applyAlignment="1">
      <alignment horizontal="center" vertical="center"/>
    </xf>
    <xf numFmtId="9" fontId="51" fillId="0" borderId="0" xfId="1" applyNumberFormat="1" applyFont="1" applyAlignment="1" applyProtection="1">
      <protection hidden="1"/>
    </xf>
    <xf numFmtId="9" fontId="15" fillId="12" borderId="61" xfId="3" applyNumberFormat="1" applyFill="1" applyBorder="1" applyAlignment="1" applyProtection="1">
      <alignment horizontal="center" vertical="center"/>
      <protection hidden="1"/>
    </xf>
    <xf numFmtId="9" fontId="15" fillId="12" borderId="62" xfId="3" applyNumberFormat="1" applyFill="1" applyBorder="1" applyAlignment="1" applyProtection="1">
      <alignment horizontal="center" vertical="center"/>
      <protection hidden="1"/>
    </xf>
    <xf numFmtId="0" fontId="53" fillId="6" borderId="0" xfId="0" applyFont="1" applyFill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>
      <alignment vertical="top" wrapText="1"/>
    </xf>
    <xf numFmtId="0" fontId="0" fillId="0" borderId="0" xfId="0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Fill="1"/>
    <xf numFmtId="1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15" borderId="65" xfId="0" applyFill="1" applyBorder="1"/>
    <xf numFmtId="0" fontId="2" fillId="15" borderId="66" xfId="0" applyFont="1" applyFill="1" applyBorder="1"/>
    <xf numFmtId="1" fontId="2" fillId="15" borderId="68" xfId="0" applyNumberFormat="1" applyFont="1" applyFill="1" applyBorder="1" applyAlignment="1">
      <alignment horizontal="center" vertical="center" wrapText="1"/>
    </xf>
    <xf numFmtId="1" fontId="2" fillId="15" borderId="8" xfId="0" applyNumberFormat="1" applyFont="1" applyFill="1" applyBorder="1" applyAlignment="1">
      <alignment horizontal="center" vertical="center" wrapText="1"/>
    </xf>
    <xf numFmtId="0" fontId="0" fillId="15" borderId="64" xfId="0" applyFill="1" applyBorder="1"/>
    <xf numFmtId="0" fontId="0" fillId="15" borderId="67" xfId="0" applyFill="1" applyBorder="1"/>
    <xf numFmtId="0" fontId="0" fillId="15" borderId="7" xfId="0" applyFill="1" applyBorder="1"/>
    <xf numFmtId="1" fontId="0" fillId="15" borderId="0" xfId="0" applyNumberFormat="1" applyFill="1" applyBorder="1"/>
    <xf numFmtId="1" fontId="0" fillId="15" borderId="62" xfId="0" applyNumberFormat="1" applyFill="1" applyBorder="1"/>
    <xf numFmtId="0" fontId="0" fillId="15" borderId="65" xfId="0" applyFill="1" applyBorder="1" applyAlignment="1">
      <alignment horizontal="center" wrapText="1"/>
    </xf>
    <xf numFmtId="0" fontId="2" fillId="15" borderId="66" xfId="0" applyFont="1" applyFill="1" applyBorder="1" applyAlignment="1">
      <alignment horizontal="center"/>
    </xf>
    <xf numFmtId="0" fontId="0" fillId="15" borderId="0" xfId="0" applyFill="1" applyBorder="1"/>
    <xf numFmtId="0" fontId="0" fillId="15" borderId="0" xfId="0" applyFill="1" applyBorder="1" applyAlignment="1">
      <alignment horizontal="center"/>
    </xf>
    <xf numFmtId="0" fontId="2" fillId="15" borderId="68" xfId="0" applyFont="1" applyFill="1" applyBorder="1" applyAlignment="1">
      <alignment horizontal="center"/>
    </xf>
    <xf numFmtId="0" fontId="0" fillId="15" borderId="62" xfId="0" applyFill="1" applyBorder="1"/>
    <xf numFmtId="0" fontId="0" fillId="15" borderId="62" xfId="0" applyFill="1" applyBorder="1" applyAlignment="1">
      <alignment horizontal="center"/>
    </xf>
    <xf numFmtId="0" fontId="2" fillId="15" borderId="8" xfId="0" applyFont="1" applyFill="1" applyBorder="1" applyAlignment="1">
      <alignment horizontal="center"/>
    </xf>
    <xf numFmtId="0" fontId="0" fillId="15" borderId="65" xfId="0" applyFill="1" applyBorder="1" applyAlignment="1">
      <alignment horizontal="center"/>
    </xf>
    <xf numFmtId="0" fontId="2" fillId="0" borderId="0" xfId="0" applyFont="1" applyFill="1" applyBorder="1"/>
    <xf numFmtId="1" fontId="2" fillId="0" borderId="0" xfId="0" applyNumberFormat="1" applyFont="1" applyFill="1" applyBorder="1"/>
    <xf numFmtId="9" fontId="0" fillId="15" borderId="68" xfId="0" applyNumberFormat="1" applyFill="1" applyBorder="1"/>
    <xf numFmtId="9" fontId="0" fillId="15" borderId="8" xfId="0" applyNumberFormat="1" applyFill="1" applyBorder="1"/>
    <xf numFmtId="9" fontId="0" fillId="0" borderId="0" xfId="0" applyNumberFormat="1" applyFill="1" applyBorder="1"/>
    <xf numFmtId="0" fontId="0" fillId="0" borderId="0" xfId="0" applyAlignment="1">
      <alignment horizontal="center" vertical="center" wrapText="1"/>
    </xf>
    <xf numFmtId="0" fontId="54" fillId="0" borderId="0" xfId="0" applyFont="1"/>
    <xf numFmtId="0" fontId="0" fillId="0" borderId="0" xfId="0" applyAlignment="1">
      <alignment horizontal="center" vertical="center" wrapText="1"/>
    </xf>
    <xf numFmtId="0" fontId="0" fillId="8" borderId="0" xfId="0" applyFill="1" applyProtection="1"/>
    <xf numFmtId="0" fontId="12" fillId="8" borderId="0" xfId="0" applyFont="1" applyFill="1" applyProtection="1"/>
    <xf numFmtId="0" fontId="0" fillId="8" borderId="0" xfId="0" applyFill="1" applyAlignment="1" applyProtection="1">
      <alignment horizontal="center" vertical="center"/>
    </xf>
    <xf numFmtId="0" fontId="0" fillId="12" borderId="0" xfId="0" applyFill="1" applyProtection="1"/>
    <xf numFmtId="0" fontId="12" fillId="12" borderId="0" xfId="0" applyFont="1" applyFill="1" applyProtection="1"/>
    <xf numFmtId="0" fontId="0" fillId="12" borderId="0" xfId="0" applyFill="1" applyAlignment="1" applyProtection="1">
      <alignment horizontal="center" vertical="center"/>
    </xf>
    <xf numFmtId="0" fontId="0" fillId="12" borderId="0" xfId="0" applyFill="1" applyAlignment="1" applyProtection="1">
      <alignment horizontal="center"/>
    </xf>
    <xf numFmtId="0" fontId="0" fillId="5" borderId="0" xfId="0" applyFill="1" applyAlignment="1" applyProtection="1">
      <alignment horizontal="center"/>
    </xf>
    <xf numFmtId="0" fontId="44" fillId="5" borderId="0" xfId="0" applyFont="1" applyFill="1" applyAlignment="1" applyProtection="1">
      <alignment horizontal="center" vertical="center"/>
    </xf>
    <xf numFmtId="0" fontId="0" fillId="5" borderId="0" xfId="0" applyFill="1" applyAlignment="1" applyProtection="1">
      <alignment horizontal="center" vertical="center"/>
    </xf>
    <xf numFmtId="0" fontId="0" fillId="5" borderId="0" xfId="0" applyFill="1" applyProtection="1"/>
    <xf numFmtId="0" fontId="2" fillId="5" borderId="0" xfId="0" applyFont="1" applyFill="1" applyAlignment="1" applyProtection="1">
      <alignment vertical="top"/>
    </xf>
    <xf numFmtId="0" fontId="0" fillId="0" borderId="0" xfId="0" applyProtection="1"/>
    <xf numFmtId="0" fontId="42" fillId="5" borderId="0" xfId="0" applyFont="1" applyFill="1" applyProtection="1"/>
    <xf numFmtId="0" fontId="0" fillId="5" borderId="0" xfId="0" applyFill="1" applyBorder="1" applyAlignment="1" applyProtection="1">
      <alignment horizontal="center"/>
    </xf>
    <xf numFmtId="0" fontId="44" fillId="5" borderId="0" xfId="0" applyFont="1" applyFill="1" applyBorder="1" applyAlignment="1" applyProtection="1">
      <alignment vertical="center"/>
    </xf>
    <xf numFmtId="0" fontId="56" fillId="0" borderId="0" xfId="0" applyFont="1" applyAlignment="1" applyProtection="1">
      <alignment horizontal="center" vertical="center"/>
    </xf>
    <xf numFmtId="0" fontId="56" fillId="5" borderId="0" xfId="0" applyFont="1" applyFill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2" fillId="5" borderId="0" xfId="0" applyFont="1" applyFill="1" applyBorder="1" applyAlignment="1" applyProtection="1">
      <alignment vertical="top"/>
    </xf>
    <xf numFmtId="0" fontId="44" fillId="0" borderId="0" xfId="0" applyFont="1" applyFill="1" applyBorder="1" applyAlignment="1" applyProtection="1">
      <alignment vertical="center"/>
    </xf>
    <xf numFmtId="0" fontId="11" fillId="5" borderId="0" xfId="0" applyFont="1" applyFill="1" applyAlignment="1" applyProtection="1">
      <alignment horizontal="center" vertical="center"/>
    </xf>
    <xf numFmtId="0" fontId="2" fillId="12" borderId="0" xfId="0" applyFont="1" applyFill="1" applyProtection="1"/>
    <xf numFmtId="0" fontId="58" fillId="16" borderId="13" xfId="5" applyFont="1" applyFill="1" applyBorder="1" applyAlignment="1" applyProtection="1">
      <alignment horizontal="center" vertical="center"/>
      <protection locked="0"/>
    </xf>
    <xf numFmtId="9" fontId="0" fillId="0" borderId="0" xfId="8" applyFont="1" applyAlignment="1">
      <alignment horizontal="center" vertical="center" wrapText="1"/>
    </xf>
    <xf numFmtId="0" fontId="49" fillId="16" borderId="58" xfId="0" applyFont="1" applyFill="1" applyBorder="1" applyAlignment="1" applyProtection="1">
      <alignment horizontal="center" vertical="center"/>
    </xf>
    <xf numFmtId="0" fontId="44" fillId="17" borderId="58" xfId="0" applyFont="1" applyFill="1" applyBorder="1" applyAlignment="1" applyProtection="1">
      <alignment horizontal="center" vertical="center"/>
    </xf>
    <xf numFmtId="0" fontId="49" fillId="17" borderId="13" xfId="0" applyFont="1" applyFill="1" applyBorder="1" applyAlignment="1" applyProtection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Border="1"/>
    <xf numFmtId="0" fontId="8" fillId="16" borderId="0" xfId="0" applyFont="1" applyFill="1" applyBorder="1"/>
    <xf numFmtId="0" fontId="8" fillId="0" borderId="0" xfId="0" applyFont="1" applyFill="1" applyBorder="1"/>
    <xf numFmtId="0" fontId="2" fillId="0" borderId="0" xfId="0" applyFont="1" applyBorder="1"/>
    <xf numFmtId="1" fontId="22" fillId="12" borderId="2" xfId="0" applyNumberFormat="1" applyFont="1" applyFill="1" applyBorder="1" applyAlignment="1" applyProtection="1">
      <alignment horizontal="right" vertical="center" shrinkToFit="1"/>
      <protection hidden="1"/>
    </xf>
    <xf numFmtId="164" fontId="22" fillId="12" borderId="41" xfId="0" applyNumberFormat="1" applyFont="1" applyFill="1" applyBorder="1" applyAlignment="1" applyProtection="1">
      <alignment horizontal="left" vertical="center" shrinkToFit="1"/>
      <protection hidden="1"/>
    </xf>
    <xf numFmtId="1" fontId="22" fillId="12" borderId="39" xfId="0" applyNumberFormat="1" applyFont="1" applyFill="1" applyBorder="1" applyAlignment="1" applyProtection="1">
      <alignment horizontal="right" vertical="center" shrinkToFit="1"/>
      <protection hidden="1"/>
    </xf>
    <xf numFmtId="1" fontId="22" fillId="12" borderId="46" xfId="0" applyNumberFormat="1" applyFont="1" applyFill="1" applyBorder="1" applyAlignment="1" applyProtection="1">
      <alignment horizontal="center" vertical="center" shrinkToFit="1"/>
      <protection hidden="1"/>
    </xf>
    <xf numFmtId="0" fontId="34" fillId="12" borderId="39" xfId="6" applyFont="1" applyFill="1" applyBorder="1" applyAlignment="1">
      <alignment horizontal="right" vertical="center" shrinkToFit="1"/>
    </xf>
    <xf numFmtId="0" fontId="22" fillId="13" borderId="2" xfId="0" applyNumberFormat="1" applyFont="1" applyFill="1" applyBorder="1" applyAlignment="1" applyProtection="1">
      <alignment horizontal="right" vertical="center" shrinkToFit="1"/>
      <protection hidden="1"/>
    </xf>
    <xf numFmtId="164" fontId="22" fillId="13" borderId="41" xfId="0" applyNumberFormat="1" applyFont="1" applyFill="1" applyBorder="1" applyAlignment="1" applyProtection="1">
      <alignment horizontal="left" vertical="center" shrinkToFit="1"/>
      <protection hidden="1"/>
    </xf>
    <xf numFmtId="1" fontId="22" fillId="13" borderId="39" xfId="0" applyNumberFormat="1" applyFont="1" applyFill="1" applyBorder="1" applyAlignment="1" applyProtection="1">
      <alignment horizontal="right" vertical="center" shrinkToFit="1"/>
      <protection hidden="1"/>
    </xf>
    <xf numFmtId="1" fontId="22" fillId="13" borderId="46" xfId="0" applyNumberFormat="1" applyFont="1" applyFill="1" applyBorder="1" applyAlignment="1" applyProtection="1">
      <alignment horizontal="center" vertical="center" shrinkToFit="1"/>
      <protection hidden="1"/>
    </xf>
    <xf numFmtId="1" fontId="22" fillId="13" borderId="2" xfId="0" applyNumberFormat="1" applyFont="1" applyFill="1" applyBorder="1" applyAlignment="1" applyProtection="1">
      <alignment horizontal="right" vertical="center" shrinkToFit="1"/>
      <protection hidden="1"/>
    </xf>
    <xf numFmtId="0" fontId="34" fillId="13" borderId="39" xfId="6" applyFont="1" applyFill="1" applyBorder="1" applyAlignment="1">
      <alignment horizontal="right" vertical="center" shrinkToFit="1"/>
    </xf>
    <xf numFmtId="0" fontId="22" fillId="12" borderId="2" xfId="0" applyNumberFormat="1" applyFont="1" applyFill="1" applyBorder="1" applyAlignment="1" applyProtection="1">
      <alignment horizontal="right" vertical="center" shrinkToFit="1"/>
      <protection hidden="1"/>
    </xf>
    <xf numFmtId="164" fontId="22" fillId="12" borderId="41" xfId="2" applyNumberFormat="1" applyFont="1" applyFill="1" applyBorder="1" applyAlignment="1" applyProtection="1">
      <alignment horizontal="left" vertical="center" shrinkToFit="1"/>
      <protection hidden="1"/>
    </xf>
    <xf numFmtId="1" fontId="34" fillId="13" borderId="39" xfId="6" applyNumberFormat="1" applyFont="1" applyFill="1" applyBorder="1" applyAlignment="1">
      <alignment horizontal="right" vertical="center" shrinkToFit="1"/>
    </xf>
    <xf numFmtId="1" fontId="22" fillId="12" borderId="38" xfId="0" applyNumberFormat="1" applyFont="1" applyFill="1" applyBorder="1" applyAlignment="1" applyProtection="1">
      <alignment horizontal="center" vertical="center" shrinkToFit="1"/>
      <protection hidden="1"/>
    </xf>
    <xf numFmtId="9" fontId="22" fillId="12" borderId="38" xfId="0" applyNumberFormat="1" applyFont="1" applyFill="1" applyBorder="1" applyAlignment="1" applyProtection="1">
      <alignment horizontal="center" vertical="center" shrinkToFit="1"/>
      <protection hidden="1"/>
    </xf>
    <xf numFmtId="9" fontId="22" fillId="12" borderId="45" xfId="0" applyNumberFormat="1" applyFont="1" applyFill="1" applyBorder="1" applyAlignment="1" applyProtection="1">
      <alignment horizontal="center" vertical="center" shrinkToFit="1"/>
      <protection hidden="1"/>
    </xf>
    <xf numFmtId="1" fontId="22" fillId="13" borderId="38" xfId="0" applyNumberFormat="1" applyFont="1" applyFill="1" applyBorder="1" applyAlignment="1" applyProtection="1">
      <alignment horizontal="center" vertical="center" shrinkToFit="1"/>
      <protection hidden="1"/>
    </xf>
    <xf numFmtId="1" fontId="22" fillId="13" borderId="45" xfId="0" applyNumberFormat="1" applyFont="1" applyFill="1" applyBorder="1" applyAlignment="1" applyProtection="1">
      <alignment horizontal="center" vertical="center" shrinkToFit="1"/>
      <protection hidden="1"/>
    </xf>
    <xf numFmtId="9" fontId="22" fillId="13" borderId="38" xfId="0" applyNumberFormat="1" applyFont="1" applyFill="1" applyBorder="1" applyAlignment="1" applyProtection="1">
      <alignment horizontal="center" vertical="center" shrinkToFit="1"/>
      <protection hidden="1"/>
    </xf>
    <xf numFmtId="9" fontId="22" fillId="13" borderId="45" xfId="0" applyNumberFormat="1" applyFont="1" applyFill="1" applyBorder="1" applyAlignment="1" applyProtection="1">
      <alignment horizontal="center" vertical="center" shrinkToFit="1"/>
      <protection hidden="1"/>
    </xf>
    <xf numFmtId="1" fontId="22" fillId="12" borderId="45" xfId="0" applyNumberFormat="1" applyFont="1" applyFill="1" applyBorder="1" applyAlignment="1" applyProtection="1">
      <alignment horizontal="center" vertical="center" shrinkToFit="1"/>
      <protection hidden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15" borderId="0" xfId="0" applyFill="1" applyAlignment="1">
      <alignment horizontal="center"/>
    </xf>
    <xf numFmtId="0" fontId="0" fillId="0" borderId="0" xfId="0" applyFill="1" applyAlignment="1">
      <alignment horizontal="center" vertical="center" wrapText="1"/>
    </xf>
    <xf numFmtId="9" fontId="0" fillId="15" borderId="0" xfId="0" applyNumberFormat="1" applyFill="1" applyAlignment="1">
      <alignment horizontal="center"/>
    </xf>
    <xf numFmtId="1" fontId="0" fillId="15" borderId="0" xfId="0" applyNumberFormat="1" applyFill="1" applyAlignment="1">
      <alignment horizontal="center"/>
    </xf>
    <xf numFmtId="9" fontId="14" fillId="12" borderId="52" xfId="2" applyNumberFormat="1" applyFill="1" applyBorder="1" applyAlignment="1" applyProtection="1">
      <alignment horizontal="center" vertical="center"/>
      <protection locked="0" hidden="1"/>
    </xf>
    <xf numFmtId="9" fontId="17" fillId="6" borderId="46" xfId="5" applyNumberFormat="1" applyFont="1" applyFill="1" applyBorder="1" applyAlignment="1" applyProtection="1">
      <alignment horizontal="center" vertical="center" wrapText="1"/>
      <protection hidden="1"/>
    </xf>
    <xf numFmtId="9" fontId="15" fillId="12" borderId="57" xfId="3" applyNumberFormat="1" applyFill="1" applyBorder="1" applyAlignment="1" applyProtection="1">
      <alignment horizontal="center" vertical="center"/>
      <protection hidden="1"/>
    </xf>
    <xf numFmtId="9" fontId="15" fillId="12" borderId="8" xfId="3" applyNumberForma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 wrapText="1"/>
    </xf>
    <xf numFmtId="0" fontId="62" fillId="0" borderId="0" xfId="0" applyFont="1" applyAlignment="1">
      <alignment vertical="center"/>
    </xf>
    <xf numFmtId="0" fontId="62" fillId="0" borderId="0" xfId="0" quotePrefix="1" applyFont="1" applyAlignment="1">
      <alignment vertical="center"/>
    </xf>
    <xf numFmtId="9" fontId="0" fillId="2" borderId="0" xfId="8" applyFont="1" applyFill="1" applyAlignment="1">
      <alignment horizontal="center" vertical="center"/>
    </xf>
    <xf numFmtId="1" fontId="0" fillId="2" borderId="0" xfId="0" applyNumberFormat="1" applyFill="1" applyAlignment="1">
      <alignment horizontal="left" vertical="center"/>
    </xf>
    <xf numFmtId="1" fontId="0" fillId="2" borderId="0" xfId="0" applyNumberFormat="1" applyFill="1" applyAlignment="1">
      <alignment vertical="center" wrapText="1"/>
    </xf>
    <xf numFmtId="0" fontId="65" fillId="0" borderId="0" xfId="0" applyFont="1" applyFill="1" applyAlignment="1">
      <alignment vertical="center"/>
    </xf>
    <xf numFmtId="0" fontId="6" fillId="15" borderId="65" xfId="0" applyFont="1" applyFill="1" applyBorder="1"/>
    <xf numFmtId="0" fontId="6" fillId="15" borderId="64" xfId="0" applyFont="1" applyFill="1" applyBorder="1" applyAlignment="1">
      <alignment vertical="center"/>
    </xf>
    <xf numFmtId="0" fontId="6" fillId="0" borderId="0" xfId="0" applyFont="1"/>
    <xf numFmtId="0" fontId="6" fillId="15" borderId="0" xfId="0" applyFont="1" applyFill="1" applyAlignment="1">
      <alignment vertical="center"/>
    </xf>
    <xf numFmtId="0" fontId="65" fillId="15" borderId="67" xfId="0" applyFont="1" applyFill="1" applyBorder="1" applyAlignment="1">
      <alignment vertical="center"/>
    </xf>
    <xf numFmtId="0" fontId="6" fillId="18" borderId="64" xfId="0" applyFont="1" applyFill="1" applyBorder="1" applyAlignment="1"/>
    <xf numFmtId="0" fontId="6" fillId="18" borderId="66" xfId="0" applyFont="1" applyFill="1" applyBorder="1" applyAlignment="1"/>
    <xf numFmtId="0" fontId="65" fillId="15" borderId="0" xfId="0" applyFont="1" applyFill="1" applyAlignment="1">
      <alignment vertical="center"/>
    </xf>
    <xf numFmtId="0" fontId="6" fillId="15" borderId="64" xfId="0" applyFont="1" applyFill="1" applyBorder="1" applyAlignment="1"/>
    <xf numFmtId="0" fontId="6" fillId="15" borderId="66" xfId="0" applyFont="1" applyFill="1" applyBorder="1" applyAlignment="1"/>
    <xf numFmtId="9" fontId="6" fillId="15" borderId="64" xfId="0" applyNumberFormat="1" applyFont="1" applyFill="1" applyBorder="1"/>
    <xf numFmtId="9" fontId="6" fillId="15" borderId="66" xfId="0" applyNumberFormat="1" applyFont="1" applyFill="1" applyBorder="1"/>
    <xf numFmtId="0" fontId="6" fillId="15" borderId="64" xfId="0" applyFont="1" applyFill="1" applyBorder="1"/>
    <xf numFmtId="0" fontId="6" fillId="15" borderId="65" xfId="0" applyFont="1" applyFill="1" applyBorder="1" applyAlignment="1"/>
    <xf numFmtId="0" fontId="6" fillId="15" borderId="67" xfId="0" applyFont="1" applyFill="1" applyBorder="1" applyAlignment="1">
      <alignment vertical="center"/>
    </xf>
    <xf numFmtId="9" fontId="6" fillId="18" borderId="67" xfId="0" applyNumberFormat="1" applyFont="1" applyFill="1" applyBorder="1"/>
    <xf numFmtId="9" fontId="6" fillId="18" borderId="68" xfId="0" applyNumberFormat="1" applyFont="1" applyFill="1" applyBorder="1"/>
    <xf numFmtId="9" fontId="6" fillId="15" borderId="67" xfId="0" applyNumberFormat="1" applyFont="1" applyFill="1" applyBorder="1"/>
    <xf numFmtId="9" fontId="6" fillId="15" borderId="68" xfId="0" applyNumberFormat="1" applyFont="1" applyFill="1" applyBorder="1"/>
    <xf numFmtId="10" fontId="6" fillId="15" borderId="67" xfId="0" applyNumberFormat="1" applyFont="1" applyFill="1" applyBorder="1"/>
    <xf numFmtId="10" fontId="6" fillId="15" borderId="0" xfId="0" applyNumberFormat="1" applyFont="1" applyFill="1" applyBorder="1"/>
    <xf numFmtId="0" fontId="6" fillId="15" borderId="7" xfId="0" applyFont="1" applyFill="1" applyBorder="1" applyAlignment="1">
      <alignment vertical="center"/>
    </xf>
    <xf numFmtId="9" fontId="6" fillId="18" borderId="7" xfId="0" applyNumberFormat="1" applyFont="1" applyFill="1" applyBorder="1"/>
    <xf numFmtId="9" fontId="6" fillId="18" borderId="8" xfId="0" applyNumberFormat="1" applyFont="1" applyFill="1" applyBorder="1"/>
    <xf numFmtId="9" fontId="6" fillId="15" borderId="7" xfId="0" applyNumberFormat="1" applyFont="1" applyFill="1" applyBorder="1"/>
    <xf numFmtId="9" fontId="6" fillId="15" borderId="8" xfId="0" applyNumberFormat="1" applyFont="1" applyFill="1" applyBorder="1"/>
    <xf numFmtId="10" fontId="6" fillId="15" borderId="7" xfId="0" applyNumberFormat="1" applyFont="1" applyFill="1" applyBorder="1"/>
    <xf numFmtId="10" fontId="6" fillId="15" borderId="62" xfId="0" applyNumberFormat="1" applyFont="1" applyFill="1" applyBorder="1"/>
    <xf numFmtId="0" fontId="6" fillId="15" borderId="0" xfId="0" applyFont="1" applyFill="1"/>
    <xf numFmtId="0" fontId="6" fillId="15" borderId="67" xfId="0" applyFont="1" applyFill="1" applyBorder="1"/>
    <xf numFmtId="0" fontId="6" fillId="18" borderId="64" xfId="0" applyFont="1" applyFill="1" applyBorder="1"/>
    <xf numFmtId="0" fontId="6" fillId="18" borderId="66" xfId="0" applyFont="1" applyFill="1" applyBorder="1"/>
    <xf numFmtId="0" fontId="0" fillId="0" borderId="0" xfId="0" applyAlignment="1">
      <alignment horizontal="center" vertical="center" wrapText="1"/>
    </xf>
    <xf numFmtId="0" fontId="9" fillId="6" borderId="58" xfId="0" applyFont="1" applyFill="1" applyBorder="1"/>
    <xf numFmtId="0" fontId="0" fillId="0" borderId="0" xfId="0" applyAlignment="1">
      <alignment horizontal="center" vertical="center" wrapText="1"/>
    </xf>
    <xf numFmtId="0" fontId="6" fillId="3" borderId="0" xfId="0" applyFont="1" applyFill="1"/>
    <xf numFmtId="0" fontId="0" fillId="2" borderId="0" xfId="0" applyFill="1"/>
    <xf numFmtId="0" fontId="0" fillId="0" borderId="0" xfId="0" applyAlignment="1">
      <alignment horizontal="center" vertical="center" wrapText="1"/>
    </xf>
    <xf numFmtId="9" fontId="17" fillId="6" borderId="46" xfId="5" applyNumberFormat="1" applyFont="1" applyFill="1" applyBorder="1" applyAlignment="1" applyProtection="1">
      <alignment horizontal="center" vertical="center" wrapText="1"/>
      <protection hidden="1"/>
    </xf>
    <xf numFmtId="9" fontId="15" fillId="12" borderId="57" xfId="3" applyNumberFormat="1" applyFill="1" applyBorder="1" applyAlignment="1" applyProtection="1">
      <alignment horizontal="center" vertical="center"/>
      <protection hidden="1"/>
    </xf>
    <xf numFmtId="9" fontId="15" fillId="12" borderId="8" xfId="3" applyNumberFormat="1" applyFill="1" applyBorder="1" applyAlignment="1" applyProtection="1">
      <alignment horizontal="center" vertical="center"/>
      <protection hidden="1"/>
    </xf>
    <xf numFmtId="0" fontId="2" fillId="12" borderId="0" xfId="0" applyFont="1" applyFill="1" applyAlignment="1">
      <alignment horizontal="left" vertical="center" wrapText="1"/>
    </xf>
    <xf numFmtId="0" fontId="45" fillId="12" borderId="0" xfId="0" applyFont="1" applyFill="1" applyAlignment="1" applyProtection="1">
      <alignment horizontal="center" vertical="center"/>
    </xf>
    <xf numFmtId="0" fontId="30" fillId="12" borderId="0" xfId="0" applyFont="1" applyFill="1" applyAlignment="1" applyProtection="1">
      <alignment horizontal="center" vertical="center"/>
    </xf>
    <xf numFmtId="0" fontId="12" fillId="6" borderId="0" xfId="0" applyFont="1" applyFill="1" applyAlignment="1" applyProtection="1">
      <alignment horizontal="center" vertical="center" wrapText="1"/>
    </xf>
    <xf numFmtId="0" fontId="12" fillId="6" borderId="0" xfId="0" applyFont="1" applyFill="1" applyAlignment="1" applyProtection="1">
      <alignment horizontal="center" vertical="center"/>
    </xf>
    <xf numFmtId="0" fontId="53" fillId="6" borderId="0" xfId="0" applyFont="1" applyFill="1" applyAlignment="1">
      <alignment horizontal="left" vertical="center" wrapText="1"/>
    </xf>
    <xf numFmtId="0" fontId="0" fillId="0" borderId="13" xfId="0" applyBorder="1" applyAlignment="1">
      <alignment horizontal="left" vertical="top" wrapText="1"/>
    </xf>
    <xf numFmtId="0" fontId="0" fillId="0" borderId="13" xfId="0" applyBorder="1" applyAlignment="1">
      <alignment vertical="top" wrapText="1"/>
    </xf>
    <xf numFmtId="0" fontId="29" fillId="0" borderId="13" xfId="0" applyFont="1" applyBorder="1" applyAlignment="1">
      <alignment vertical="top" wrapText="1"/>
    </xf>
    <xf numFmtId="9" fontId="9" fillId="6" borderId="2" xfId="5" applyNumberFormat="1" applyFont="1" applyFill="1" applyBorder="1" applyAlignment="1" applyProtection="1">
      <alignment horizontal="center" vertical="center" wrapText="1"/>
      <protection hidden="1"/>
    </xf>
    <xf numFmtId="9" fontId="9" fillId="6" borderId="3" xfId="5" applyNumberFormat="1" applyFont="1" applyFill="1" applyBorder="1" applyAlignment="1" applyProtection="1">
      <alignment horizontal="center" vertical="center" wrapText="1"/>
      <protection hidden="1"/>
    </xf>
    <xf numFmtId="9" fontId="17" fillId="6" borderId="40" xfId="5" applyNumberFormat="1" applyFont="1" applyFill="1" applyBorder="1" applyAlignment="1" applyProtection="1">
      <alignment horizontal="center" vertical="center" wrapText="1"/>
      <protection hidden="1"/>
    </xf>
    <xf numFmtId="9" fontId="17" fillId="6" borderId="43" xfId="5" applyNumberFormat="1" applyFont="1" applyFill="1" applyBorder="1" applyAlignment="1" applyProtection="1">
      <alignment horizontal="center" vertical="center" wrapText="1"/>
      <protection hidden="1"/>
    </xf>
    <xf numFmtId="9" fontId="17" fillId="6" borderId="42" xfId="5" applyNumberFormat="1" applyFont="1" applyFill="1" applyBorder="1" applyAlignment="1" applyProtection="1">
      <alignment horizontal="center" vertical="center" wrapText="1"/>
      <protection hidden="1"/>
    </xf>
    <xf numFmtId="9" fontId="17" fillId="6" borderId="44" xfId="5" applyNumberFormat="1" applyFont="1" applyFill="1" applyBorder="1" applyAlignment="1" applyProtection="1">
      <alignment horizontal="center" vertical="center" wrapText="1"/>
      <protection hidden="1"/>
    </xf>
    <xf numFmtId="9" fontId="9" fillId="6" borderId="6" xfId="5" applyNumberFormat="1" applyFont="1" applyFill="1" applyBorder="1" applyAlignment="1" applyProtection="1">
      <alignment horizontal="center" vertical="center" wrapText="1"/>
      <protection hidden="1"/>
    </xf>
    <xf numFmtId="9" fontId="17" fillId="6" borderId="2" xfId="5" applyNumberFormat="1" applyFont="1" applyFill="1" applyBorder="1" applyAlignment="1" applyProtection="1">
      <alignment horizontal="center" vertical="center" wrapText="1"/>
      <protection hidden="1"/>
    </xf>
    <xf numFmtId="9" fontId="17" fillId="6" borderId="41" xfId="5" applyNumberFormat="1" applyFont="1" applyFill="1" applyBorder="1" applyAlignment="1" applyProtection="1">
      <alignment horizontal="center" vertical="center" wrapText="1"/>
      <protection hidden="1"/>
    </xf>
    <xf numFmtId="9" fontId="17" fillId="6" borderId="46" xfId="5" applyNumberFormat="1" applyFont="1" applyFill="1" applyBorder="1" applyAlignment="1" applyProtection="1">
      <alignment horizontal="center" vertical="center" wrapText="1"/>
      <protection hidden="1"/>
    </xf>
    <xf numFmtId="9" fontId="25" fillId="6" borderId="46" xfId="5" applyNumberFormat="1" applyFont="1" applyFill="1" applyBorder="1" applyAlignment="1" applyProtection="1">
      <alignment horizontal="center" vertical="center" wrapText="1"/>
      <protection hidden="1"/>
    </xf>
    <xf numFmtId="9" fontId="38" fillId="0" borderId="25" xfId="1" applyNumberFormat="1" applyFont="1" applyBorder="1" applyAlignment="1" applyProtection="1">
      <alignment horizontal="center" vertical="center"/>
      <protection hidden="1"/>
    </xf>
    <xf numFmtId="0" fontId="39" fillId="12" borderId="21" xfId="5" applyFont="1" applyFill="1" applyBorder="1" applyAlignment="1">
      <alignment horizontal="center" vertical="center" wrapText="1"/>
    </xf>
    <xf numFmtId="0" fontId="39" fillId="12" borderId="22" xfId="5" applyFont="1" applyFill="1" applyBorder="1" applyAlignment="1">
      <alignment horizontal="center" vertical="center" wrapText="1"/>
    </xf>
    <xf numFmtId="0" fontId="39" fillId="12" borderId="23" xfId="5" applyFont="1" applyFill="1" applyBorder="1" applyAlignment="1">
      <alignment horizontal="center" vertical="center" wrapText="1"/>
    </xf>
    <xf numFmtId="0" fontId="39" fillId="12" borderId="24" xfId="5" applyFont="1" applyFill="1" applyBorder="1" applyAlignment="1">
      <alignment horizontal="center" vertical="center" wrapText="1"/>
    </xf>
    <xf numFmtId="0" fontId="39" fillId="12" borderId="0" xfId="5" applyFont="1" applyFill="1" applyBorder="1" applyAlignment="1">
      <alignment horizontal="center" vertical="center" wrapText="1"/>
    </xf>
    <xf numFmtId="0" fontId="39" fillId="12" borderId="25" xfId="5" applyFont="1" applyFill="1" applyBorder="1" applyAlignment="1">
      <alignment horizontal="center" vertical="center" wrapText="1"/>
    </xf>
    <xf numFmtId="0" fontId="39" fillId="12" borderId="26" xfId="5" applyFont="1" applyFill="1" applyBorder="1" applyAlignment="1">
      <alignment horizontal="center" vertical="center" wrapText="1"/>
    </xf>
    <xf numFmtId="0" fontId="39" fillId="12" borderId="27" xfId="5" applyFont="1" applyFill="1" applyBorder="1" applyAlignment="1">
      <alignment horizontal="center" vertical="center" wrapText="1"/>
    </xf>
    <xf numFmtId="0" fontId="39" fillId="12" borderId="28" xfId="5" applyFont="1" applyFill="1" applyBorder="1" applyAlignment="1">
      <alignment horizontal="center" vertical="center" wrapText="1"/>
    </xf>
    <xf numFmtId="9" fontId="35" fillId="10" borderId="14" xfId="3" applyNumberFormat="1" applyFont="1" applyBorder="1" applyAlignment="1" applyProtection="1">
      <alignment horizontal="center" vertical="center"/>
      <protection hidden="1"/>
    </xf>
    <xf numFmtId="9" fontId="35" fillId="10" borderId="48" xfId="3" applyNumberFormat="1" applyFont="1" applyBorder="1" applyAlignment="1" applyProtection="1">
      <alignment horizontal="center" vertical="center"/>
      <protection hidden="1"/>
    </xf>
    <xf numFmtId="9" fontId="15" fillId="12" borderId="56" xfId="3" applyNumberFormat="1" applyFill="1" applyBorder="1" applyAlignment="1" applyProtection="1">
      <alignment horizontal="center" vertical="center"/>
      <protection hidden="1"/>
    </xf>
    <xf numFmtId="9" fontId="15" fillId="12" borderId="57" xfId="3" applyNumberFormat="1" applyFill="1" applyBorder="1" applyAlignment="1" applyProtection="1">
      <alignment horizontal="center" vertical="center"/>
      <protection hidden="1"/>
    </xf>
    <xf numFmtId="9" fontId="15" fillId="12" borderId="7" xfId="3" applyNumberFormat="1" applyFill="1" applyBorder="1" applyAlignment="1" applyProtection="1">
      <alignment horizontal="center" vertical="center"/>
      <protection hidden="1"/>
    </xf>
    <xf numFmtId="9" fontId="15" fillId="12" borderId="8" xfId="3" applyNumberFormat="1" applyFill="1" applyBorder="1" applyAlignment="1" applyProtection="1">
      <alignment horizontal="center" vertical="center"/>
      <protection hidden="1"/>
    </xf>
    <xf numFmtId="9" fontId="36" fillId="9" borderId="56" xfId="2" applyNumberFormat="1" applyFont="1" applyBorder="1" applyAlignment="1" applyProtection="1">
      <alignment horizontal="center" vertical="center"/>
      <protection hidden="1"/>
    </xf>
    <xf numFmtId="9" fontId="14" fillId="9" borderId="57" xfId="2" applyNumberFormat="1" applyBorder="1" applyAlignment="1" applyProtection="1">
      <alignment horizontal="center" vertical="center"/>
      <protection hidden="1"/>
    </xf>
    <xf numFmtId="9" fontId="14" fillId="9" borderId="7" xfId="2" applyNumberFormat="1" applyBorder="1" applyAlignment="1" applyProtection="1">
      <alignment horizontal="center" vertical="center"/>
      <protection hidden="1"/>
    </xf>
    <xf numFmtId="9" fontId="14" fillId="9" borderId="8" xfId="2" applyNumberFormat="1" applyBorder="1" applyAlignment="1" applyProtection="1">
      <alignment horizontal="center" vertical="center"/>
      <protection hidden="1"/>
    </xf>
    <xf numFmtId="9" fontId="37" fillId="11" borderId="56" xfId="4" applyNumberFormat="1" applyFont="1" applyBorder="1" applyAlignment="1" applyProtection="1">
      <alignment horizontal="center" vertical="center"/>
      <protection hidden="1"/>
    </xf>
    <xf numFmtId="9" fontId="16" fillId="11" borderId="57" xfId="4" applyNumberFormat="1" applyBorder="1" applyAlignment="1" applyProtection="1">
      <alignment horizontal="center" vertical="center"/>
      <protection hidden="1"/>
    </xf>
    <xf numFmtId="9" fontId="16" fillId="11" borderId="7" xfId="4" applyNumberFormat="1" applyBorder="1" applyAlignment="1" applyProtection="1">
      <alignment horizontal="center" vertical="center"/>
      <protection hidden="1"/>
    </xf>
    <xf numFmtId="9" fontId="16" fillId="11" borderId="8" xfId="4" applyNumberFormat="1" applyBorder="1" applyAlignment="1" applyProtection="1">
      <alignment horizontal="center" vertical="center"/>
      <protection hidden="1"/>
    </xf>
    <xf numFmtId="9" fontId="35" fillId="10" borderId="56" xfId="3" applyNumberFormat="1" applyFont="1" applyBorder="1" applyAlignment="1" applyProtection="1">
      <alignment horizontal="center" vertical="center"/>
      <protection hidden="1"/>
    </xf>
    <xf numFmtId="9" fontId="15" fillId="10" borderId="57" xfId="3" applyNumberFormat="1" applyBorder="1" applyAlignment="1" applyProtection="1">
      <alignment horizontal="center" vertical="center"/>
      <protection hidden="1"/>
    </xf>
    <xf numFmtId="9" fontId="15" fillId="10" borderId="7" xfId="3" applyNumberFormat="1" applyBorder="1" applyAlignment="1" applyProtection="1">
      <alignment horizontal="center" vertical="center"/>
      <protection hidden="1"/>
    </xf>
    <xf numFmtId="9" fontId="15" fillId="10" borderId="8" xfId="3" applyNumberFormat="1" applyBorder="1" applyAlignment="1" applyProtection="1">
      <alignment horizontal="center" vertical="center"/>
      <protection hidden="1"/>
    </xf>
    <xf numFmtId="9" fontId="9" fillId="6" borderId="1" xfId="0" applyNumberFormat="1" applyFont="1" applyFill="1" applyBorder="1" applyAlignment="1" applyProtection="1">
      <alignment horizontal="center" vertical="center"/>
      <protection hidden="1"/>
    </xf>
    <xf numFmtId="9" fontId="9" fillId="6" borderId="4" xfId="0" applyNumberFormat="1" applyFont="1" applyFill="1" applyBorder="1" applyAlignment="1" applyProtection="1">
      <alignment horizontal="center" vertical="center" wrapText="1"/>
      <protection hidden="1"/>
    </xf>
    <xf numFmtId="9" fontId="9" fillId="6" borderId="17" xfId="0" applyNumberFormat="1" applyFont="1" applyFill="1" applyBorder="1" applyAlignment="1" applyProtection="1">
      <alignment horizontal="center" vertical="center" wrapText="1"/>
      <protection hidden="1"/>
    </xf>
    <xf numFmtId="9" fontId="9" fillId="6" borderId="5" xfId="0" applyNumberFormat="1" applyFont="1" applyFill="1" applyBorder="1" applyAlignment="1" applyProtection="1">
      <alignment horizontal="center" vertical="center" wrapText="1"/>
      <protection hidden="1"/>
    </xf>
    <xf numFmtId="9" fontId="36" fillId="9" borderId="16" xfId="2" applyNumberFormat="1" applyFont="1" applyBorder="1" applyAlignment="1" applyProtection="1">
      <alignment horizontal="center" vertical="center"/>
      <protection locked="0" hidden="1"/>
    </xf>
    <xf numFmtId="9" fontId="36" fillId="9" borderId="52" xfId="2" applyNumberFormat="1" applyFont="1" applyBorder="1" applyAlignment="1" applyProtection="1">
      <alignment horizontal="center" vertical="center"/>
      <protection locked="0" hidden="1"/>
    </xf>
    <xf numFmtId="9" fontId="14" fillId="12" borderId="51" xfId="2" applyNumberFormat="1" applyFill="1" applyBorder="1" applyAlignment="1" applyProtection="1">
      <alignment horizontal="center" vertical="center"/>
      <protection locked="0" hidden="1"/>
    </xf>
    <xf numFmtId="9" fontId="14" fillId="12" borderId="52" xfId="2" applyNumberFormat="1" applyFill="1" applyBorder="1" applyAlignment="1" applyProtection="1">
      <alignment horizontal="center" vertical="center"/>
      <protection locked="0" hidden="1"/>
    </xf>
    <xf numFmtId="9" fontId="35" fillId="10" borderId="47" xfId="3" applyNumberFormat="1" applyFont="1" applyBorder="1" applyAlignment="1" applyProtection="1">
      <alignment horizontal="center" vertical="center"/>
      <protection hidden="1"/>
    </xf>
    <xf numFmtId="9" fontId="16" fillId="11" borderId="15" xfId="4" applyNumberFormat="1" applyBorder="1" applyAlignment="1" applyProtection="1">
      <alignment horizontal="center" vertical="center"/>
      <protection locked="0" hidden="1"/>
    </xf>
    <xf numFmtId="9" fontId="16" fillId="11" borderId="50" xfId="4" applyNumberFormat="1" applyBorder="1" applyAlignment="1" applyProtection="1">
      <alignment horizontal="center" vertical="center"/>
      <protection locked="0" hidden="1"/>
    </xf>
    <xf numFmtId="9" fontId="16" fillId="11" borderId="49" xfId="4" applyNumberFormat="1" applyBorder="1" applyAlignment="1" applyProtection="1">
      <alignment horizontal="center" vertical="center"/>
      <protection locked="0" hidden="1"/>
    </xf>
    <xf numFmtId="9" fontId="0" fillId="12" borderId="51" xfId="2" applyNumberFormat="1" applyFont="1" applyFill="1" applyBorder="1" applyAlignment="1" applyProtection="1">
      <alignment horizontal="center" vertical="center"/>
      <protection locked="0" hidden="1"/>
    </xf>
    <xf numFmtId="9" fontId="36" fillId="9" borderId="51" xfId="2" applyNumberFormat="1" applyFont="1" applyBorder="1" applyAlignment="1" applyProtection="1">
      <alignment horizontal="center" vertical="center"/>
      <protection locked="0" hidden="1"/>
    </xf>
    <xf numFmtId="9" fontId="32" fillId="8" borderId="0" xfId="1" applyNumberFormat="1" applyFont="1" applyFill="1" applyAlignment="1" applyProtection="1">
      <alignment horizontal="left" vertical="center" indent="3"/>
      <protection hidden="1"/>
    </xf>
    <xf numFmtId="0" fontId="55" fillId="6" borderId="0" xfId="5" applyFont="1" applyFill="1" applyAlignment="1">
      <alignment horizontal="center" vertical="center"/>
    </xf>
    <xf numFmtId="9" fontId="40" fillId="0" borderId="0" xfId="1" applyNumberFormat="1" applyFont="1" applyFill="1" applyAlignment="1" applyProtection="1">
      <alignment horizontal="center" vertical="center"/>
      <protection hidden="1"/>
    </xf>
    <xf numFmtId="0" fontId="63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" fontId="60" fillId="12" borderId="29" xfId="0" applyNumberFormat="1" applyFont="1" applyFill="1" applyBorder="1" applyAlignment="1">
      <alignment horizontal="right" vertical="center" wrapText="1"/>
    </xf>
    <xf numFmtId="1" fontId="60" fillId="12" borderId="32" xfId="0" applyNumberFormat="1" applyFont="1" applyFill="1" applyBorder="1" applyAlignment="1">
      <alignment horizontal="right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9" fillId="6" borderId="19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1" fontId="60" fillId="12" borderId="12" xfId="0" applyNumberFormat="1" applyFont="1" applyFill="1" applyBorder="1" applyAlignment="1">
      <alignment horizontal="center" vertical="center" wrapText="1"/>
    </xf>
    <xf numFmtId="0" fontId="60" fillId="12" borderId="9" xfId="0" applyFont="1" applyFill="1" applyBorder="1" applyAlignment="1">
      <alignment horizontal="center" vertical="center" wrapText="1"/>
    </xf>
    <xf numFmtId="0" fontId="60" fillId="12" borderId="10" xfId="0" applyFont="1" applyFill="1" applyBorder="1" applyAlignment="1">
      <alignment horizontal="center" vertical="center" wrapText="1"/>
    </xf>
    <xf numFmtId="0" fontId="60" fillId="12" borderId="20" xfId="0" applyFont="1" applyFill="1" applyBorder="1" applyAlignment="1">
      <alignment horizontal="center" vertical="center" wrapText="1"/>
    </xf>
    <xf numFmtId="0" fontId="60" fillId="12" borderId="11" xfId="0" applyFont="1" applyFill="1" applyBorder="1" applyAlignment="1">
      <alignment horizontal="center" vertical="center" wrapText="1"/>
    </xf>
    <xf numFmtId="0" fontId="60" fillId="12" borderId="18" xfId="0" applyFont="1" applyFill="1" applyBorder="1" applyAlignment="1">
      <alignment horizontal="center" vertical="center" wrapText="1"/>
    </xf>
    <xf numFmtId="0" fontId="0" fillId="7" borderId="4" xfId="0" applyFont="1" applyFill="1" applyBorder="1" applyAlignment="1">
      <alignment horizontal="center" vertical="center" wrapText="1"/>
    </xf>
    <xf numFmtId="0" fontId="0" fillId="7" borderId="17" xfId="0" applyFont="1" applyFill="1" applyBorder="1" applyAlignment="1">
      <alignment horizontal="center" vertical="center" wrapText="1"/>
    </xf>
    <xf numFmtId="0" fontId="0" fillId="7" borderId="5" xfId="0" applyFont="1" applyFill="1" applyBorder="1" applyAlignment="1">
      <alignment horizontal="center" vertical="center" wrapText="1"/>
    </xf>
    <xf numFmtId="0" fontId="0" fillId="7" borderId="12" xfId="0" applyFont="1" applyFill="1" applyBorder="1" applyAlignment="1">
      <alignment horizontal="center" vertical="center" wrapText="1"/>
    </xf>
    <xf numFmtId="0" fontId="0" fillId="7" borderId="19" xfId="0" applyFont="1" applyFill="1" applyBorder="1" applyAlignment="1">
      <alignment horizontal="center" vertical="center" wrapText="1"/>
    </xf>
    <xf numFmtId="0" fontId="0" fillId="7" borderId="10" xfId="0" applyFont="1" applyFill="1" applyBorder="1" applyAlignment="1">
      <alignment horizontal="center" vertical="center" wrapText="1"/>
    </xf>
    <xf numFmtId="0" fontId="0" fillId="7" borderId="0" xfId="0" applyFont="1" applyFill="1" applyBorder="1" applyAlignment="1">
      <alignment horizontal="center" vertical="center" wrapText="1"/>
    </xf>
    <xf numFmtId="1" fontId="59" fillId="12" borderId="12" xfId="0" applyNumberFormat="1" applyFont="1" applyFill="1" applyBorder="1" applyAlignment="1">
      <alignment horizontal="center" vertical="center" wrapText="1"/>
    </xf>
    <xf numFmtId="0" fontId="59" fillId="12" borderId="9" xfId="0" applyFont="1" applyFill="1" applyBorder="1" applyAlignment="1">
      <alignment horizontal="center" vertical="center" wrapText="1"/>
    </xf>
    <xf numFmtId="0" fontId="59" fillId="12" borderId="10" xfId="0" applyFont="1" applyFill="1" applyBorder="1" applyAlignment="1">
      <alignment horizontal="center" vertical="center" wrapText="1"/>
    </xf>
    <xf numFmtId="0" fontId="59" fillId="12" borderId="20" xfId="0" applyFont="1" applyFill="1" applyBorder="1" applyAlignment="1">
      <alignment horizontal="center" vertical="center" wrapText="1"/>
    </xf>
    <xf numFmtId="0" fontId="59" fillId="12" borderId="11" xfId="0" applyFont="1" applyFill="1" applyBorder="1" applyAlignment="1">
      <alignment horizontal="center" vertical="center" wrapText="1"/>
    </xf>
    <xf numFmtId="0" fontId="59" fillId="12" borderId="18" xfId="0" applyFont="1" applyFill="1" applyBorder="1" applyAlignment="1">
      <alignment horizontal="center" vertical="center" wrapText="1"/>
    </xf>
    <xf numFmtId="1" fontId="59" fillId="12" borderId="9" xfId="0" applyNumberFormat="1" applyFont="1" applyFill="1" applyBorder="1" applyAlignment="1">
      <alignment horizontal="center" vertical="center" wrapText="1"/>
    </xf>
    <xf numFmtId="1" fontId="59" fillId="12" borderId="10" xfId="0" applyNumberFormat="1" applyFont="1" applyFill="1" applyBorder="1" applyAlignment="1">
      <alignment horizontal="center" vertical="center" wrapText="1"/>
    </xf>
    <xf numFmtId="1" fontId="59" fillId="12" borderId="20" xfId="0" applyNumberFormat="1" applyFont="1" applyFill="1" applyBorder="1" applyAlignment="1">
      <alignment horizontal="center" vertical="center" wrapText="1"/>
    </xf>
    <xf numFmtId="1" fontId="59" fillId="12" borderId="11" xfId="0" applyNumberFormat="1" applyFont="1" applyFill="1" applyBorder="1" applyAlignment="1">
      <alignment horizontal="center" vertical="center" wrapText="1"/>
    </xf>
    <xf numFmtId="1" fontId="59" fillId="12" borderId="18" xfId="0" applyNumberFormat="1" applyFont="1" applyFill="1" applyBorder="1" applyAlignment="1">
      <alignment horizontal="center" vertical="center" wrapText="1"/>
    </xf>
    <xf numFmtId="0" fontId="0" fillId="7" borderId="32" xfId="0" applyFont="1" applyFill="1" applyBorder="1" applyAlignment="1">
      <alignment horizontal="center" vertical="center" wrapText="1"/>
    </xf>
    <xf numFmtId="0" fontId="29" fillId="7" borderId="29" xfId="0" applyFont="1" applyFill="1" applyBorder="1" applyAlignment="1">
      <alignment horizontal="center" vertical="center" wrapText="1"/>
    </xf>
    <xf numFmtId="1" fontId="59" fillId="12" borderId="30" xfId="0" applyNumberFormat="1" applyFont="1" applyFill="1" applyBorder="1" applyAlignment="1">
      <alignment horizontal="right" vertical="center" wrapText="1"/>
    </xf>
    <xf numFmtId="1" fontId="59" fillId="12" borderId="33" xfId="0" applyNumberFormat="1" applyFont="1" applyFill="1" applyBorder="1" applyAlignment="1">
      <alignment horizontal="right" vertical="center" wrapText="1"/>
    </xf>
    <xf numFmtId="164" fontId="59" fillId="12" borderId="31" xfId="0" applyNumberFormat="1" applyFont="1" applyFill="1" applyBorder="1" applyAlignment="1">
      <alignment horizontal="left" vertical="center" wrapText="1"/>
    </xf>
    <xf numFmtId="164" fontId="59" fillId="12" borderId="34" xfId="0" applyNumberFormat="1" applyFont="1" applyFill="1" applyBorder="1" applyAlignment="1">
      <alignment horizontal="left" vertical="center" wrapText="1"/>
    </xf>
    <xf numFmtId="0" fontId="29" fillId="7" borderId="32" xfId="0" applyFont="1" applyFill="1" applyBorder="1" applyAlignment="1">
      <alignment horizontal="center" vertical="center" wrapText="1"/>
    </xf>
    <xf numFmtId="164" fontId="60" fillId="12" borderId="31" xfId="0" applyNumberFormat="1" applyFont="1" applyFill="1" applyBorder="1" applyAlignment="1">
      <alignment horizontal="left" vertical="center" wrapText="1"/>
    </xf>
    <xf numFmtId="164" fontId="60" fillId="12" borderId="34" xfId="0" applyNumberFormat="1" applyFont="1" applyFill="1" applyBorder="1" applyAlignment="1">
      <alignment horizontal="left" vertical="center" wrapText="1"/>
    </xf>
    <xf numFmtId="1" fontId="59" fillId="12" borderId="32" xfId="0" applyNumberFormat="1" applyFont="1" applyFill="1" applyBorder="1" applyAlignment="1">
      <alignment horizontal="right" vertical="center" wrapText="1"/>
    </xf>
    <xf numFmtId="1" fontId="59" fillId="12" borderId="29" xfId="0" applyNumberFormat="1" applyFont="1" applyFill="1" applyBorder="1" applyAlignment="1">
      <alignment horizontal="right" vertical="center" wrapText="1"/>
    </xf>
    <xf numFmtId="1" fontId="59" fillId="12" borderId="54" xfId="0" applyNumberFormat="1" applyFont="1" applyFill="1" applyBorder="1" applyAlignment="1">
      <alignment horizontal="center" vertical="center" wrapText="1"/>
    </xf>
    <xf numFmtId="1" fontId="59" fillId="12" borderId="55" xfId="0" applyNumberFormat="1" applyFont="1" applyFill="1" applyBorder="1" applyAlignment="1">
      <alignment horizontal="center" vertical="center" wrapText="1"/>
    </xf>
    <xf numFmtId="9" fontId="10" fillId="8" borderId="0" xfId="1" applyNumberFormat="1" applyFont="1" applyFill="1" applyAlignment="1" applyProtection="1">
      <alignment horizontal="left" vertical="center"/>
      <protection hidden="1"/>
    </xf>
    <xf numFmtId="0" fontId="0" fillId="7" borderId="2" xfId="0" applyFont="1" applyFill="1" applyBorder="1" applyAlignment="1">
      <alignment horizontal="center" vertical="center" wrapText="1"/>
    </xf>
    <xf numFmtId="1" fontId="60" fillId="12" borderId="35" xfId="0" applyNumberFormat="1" applyFont="1" applyFill="1" applyBorder="1" applyAlignment="1">
      <alignment horizontal="center" vertical="center" wrapText="1"/>
    </xf>
    <xf numFmtId="1" fontId="60" fillId="12" borderId="37" xfId="0" applyNumberFormat="1" applyFont="1" applyFill="1" applyBorder="1" applyAlignment="1">
      <alignment horizontal="center" vertical="center" wrapText="1"/>
    </xf>
    <xf numFmtId="0" fontId="60" fillId="12" borderId="37" xfId="0" applyFont="1" applyFill="1" applyBorder="1" applyAlignment="1">
      <alignment horizontal="center" vertical="center" wrapText="1"/>
    </xf>
    <xf numFmtId="0" fontId="60" fillId="12" borderId="32" xfId="0" applyFont="1" applyFill="1" applyBorder="1" applyAlignment="1">
      <alignment horizontal="right" vertical="center" wrapText="1"/>
    </xf>
    <xf numFmtId="1" fontId="59" fillId="12" borderId="36" xfId="0" applyNumberFormat="1" applyFont="1" applyFill="1" applyBorder="1" applyAlignment="1">
      <alignment horizontal="center" vertical="center" wrapText="1"/>
    </xf>
    <xf numFmtId="1" fontId="59" fillId="12" borderId="37" xfId="0" applyNumberFormat="1" applyFont="1" applyFill="1" applyBorder="1" applyAlignment="1">
      <alignment horizontal="center" vertical="center" wrapText="1"/>
    </xf>
    <xf numFmtId="1" fontId="59" fillId="12" borderId="35" xfId="0" applyNumberFormat="1" applyFont="1" applyFill="1" applyBorder="1" applyAlignment="1">
      <alignment horizontal="center" vertical="center" wrapText="1"/>
    </xf>
    <xf numFmtId="0" fontId="2" fillId="12" borderId="0" xfId="0" applyFont="1" applyFill="1" applyAlignment="1">
      <alignment horizontal="left" vertical="center" wrapText="1"/>
    </xf>
    <xf numFmtId="9" fontId="61" fillId="12" borderId="2" xfId="0" applyNumberFormat="1" applyFont="1" applyFill="1" applyBorder="1" applyAlignment="1">
      <alignment horizontal="center" vertical="center" wrapText="1"/>
    </xf>
    <xf numFmtId="0" fontId="61" fillId="12" borderId="3" xfId="0" applyFont="1" applyFill="1" applyBorder="1" applyAlignment="1">
      <alignment horizontal="center" vertical="center" wrapText="1"/>
    </xf>
    <xf numFmtId="9" fontId="61" fillId="12" borderId="3" xfId="0" applyNumberFormat="1" applyFont="1" applyFill="1" applyBorder="1" applyAlignment="1">
      <alignment horizontal="center" vertical="center" wrapText="1"/>
    </xf>
    <xf numFmtId="0" fontId="0" fillId="7" borderId="6" xfId="0" applyFont="1" applyFill="1" applyBorder="1" applyAlignment="1">
      <alignment horizontal="center" vertical="center" wrapText="1"/>
    </xf>
    <xf numFmtId="9" fontId="6" fillId="12" borderId="6" xfId="0" applyNumberFormat="1" applyFont="1" applyFill="1" applyBorder="1" applyAlignment="1">
      <alignment horizontal="center" vertical="center" wrapText="1"/>
    </xf>
    <xf numFmtId="9" fontId="6" fillId="12" borderId="3" xfId="0" applyNumberFormat="1" applyFont="1" applyFill="1" applyBorder="1" applyAlignment="1">
      <alignment horizontal="center" vertical="center" wrapText="1"/>
    </xf>
    <xf numFmtId="9" fontId="6" fillId="12" borderId="2" xfId="0" applyNumberFormat="1" applyFont="1" applyFill="1" applyBorder="1" applyAlignment="1">
      <alignment horizontal="center" vertical="center" wrapText="1"/>
    </xf>
    <xf numFmtId="0" fontId="60" fillId="12" borderId="29" xfId="0" applyFont="1" applyFill="1" applyBorder="1" applyAlignment="1">
      <alignment horizontal="right" vertical="center" wrapText="1"/>
    </xf>
    <xf numFmtId="0" fontId="60" fillId="12" borderId="35" xfId="0" applyFont="1" applyFill="1" applyBorder="1" applyAlignment="1">
      <alignment horizontal="center" vertical="center" wrapText="1"/>
    </xf>
    <xf numFmtId="0" fontId="60" fillId="12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15" borderId="65" xfId="0" applyFont="1" applyFill="1" applyBorder="1" applyAlignment="1">
      <alignment horizontal="center"/>
    </xf>
    <xf numFmtId="0" fontId="6" fillId="15" borderId="66" xfId="0" applyFont="1" applyFill="1" applyBorder="1" applyAlignment="1">
      <alignment horizontal="center"/>
    </xf>
    <xf numFmtId="0" fontId="6" fillId="15" borderId="0" xfId="0" applyFont="1" applyFill="1" applyAlignment="1">
      <alignment horizontal="center"/>
    </xf>
    <xf numFmtId="0" fontId="57" fillId="16" borderId="13" xfId="5" applyFont="1" applyFill="1" applyBorder="1" applyAlignment="1" applyProtection="1">
      <alignment horizontal="center" vertical="center"/>
      <protection locked="0"/>
    </xf>
    <xf numFmtId="0" fontId="57" fillId="17" borderId="13" xfId="5" applyFont="1" applyFill="1" applyBorder="1" applyAlignment="1" applyProtection="1">
      <alignment horizontal="center" vertical="center"/>
    </xf>
    <xf numFmtId="0" fontId="0" fillId="0" borderId="0" xfId="0" applyAlignment="1" applyProtection="1"/>
    <xf numFmtId="0" fontId="0" fillId="0" borderId="0" xfId="0" applyAlignment="1" applyProtection="1">
      <alignment vertical="center"/>
    </xf>
    <xf numFmtId="0" fontId="6" fillId="12" borderId="1" xfId="0" applyFont="1" applyFill="1" applyBorder="1" applyAlignment="1" applyProtection="1">
      <alignment horizontal="left" vertical="center" wrapText="1" indent="1"/>
    </xf>
    <xf numFmtId="0" fontId="6" fillId="12" borderId="1" xfId="0" applyFont="1" applyFill="1" applyBorder="1" applyAlignment="1" applyProtection="1">
      <alignment horizontal="center" vertical="center" wrapText="1"/>
    </xf>
    <xf numFmtId="0" fontId="34" fillId="12" borderId="39" xfId="6" applyFont="1" applyFill="1" applyBorder="1" applyAlignment="1" applyProtection="1">
      <alignment horizontal="right" vertical="center" shrinkToFit="1"/>
    </xf>
    <xf numFmtId="0" fontId="6" fillId="13" borderId="1" xfId="0" applyFont="1" applyFill="1" applyBorder="1" applyAlignment="1" applyProtection="1">
      <alignment horizontal="left" vertical="center" wrapText="1" indent="1"/>
    </xf>
    <xf numFmtId="0" fontId="6" fillId="13" borderId="1" xfId="0" applyFont="1" applyFill="1" applyBorder="1" applyAlignment="1" applyProtection="1">
      <alignment horizontal="center" vertical="center" wrapText="1"/>
    </xf>
    <xf numFmtId="0" fontId="34" fillId="13" borderId="39" xfId="6" applyFont="1" applyFill="1" applyBorder="1" applyAlignment="1" applyProtection="1">
      <alignment horizontal="right" vertical="center" shrinkToFit="1"/>
    </xf>
    <xf numFmtId="0" fontId="0" fillId="0" borderId="19" xfId="0" applyBorder="1" applyAlignment="1" applyProtection="1">
      <alignment vertical="center"/>
    </xf>
    <xf numFmtId="0" fontId="39" fillId="12" borderId="21" xfId="5" applyFont="1" applyFill="1" applyBorder="1" applyAlignment="1" applyProtection="1">
      <alignment horizontal="center" vertical="center" wrapText="1"/>
    </xf>
    <xf numFmtId="0" fontId="39" fillId="12" borderId="22" xfId="5" applyFont="1" applyFill="1" applyBorder="1" applyAlignment="1" applyProtection="1">
      <alignment horizontal="center" vertical="center" wrapText="1"/>
    </xf>
    <xf numFmtId="0" fontId="39" fillId="12" borderId="23" xfId="5" applyFont="1" applyFill="1" applyBorder="1" applyAlignment="1" applyProtection="1">
      <alignment horizontal="center" vertical="center" wrapText="1"/>
    </xf>
    <xf numFmtId="0" fontId="39" fillId="12" borderId="24" xfId="5" applyFont="1" applyFill="1" applyBorder="1" applyAlignment="1" applyProtection="1">
      <alignment horizontal="center" vertical="center" wrapText="1"/>
    </xf>
    <xf numFmtId="0" fontId="39" fillId="12" borderId="0" xfId="5" applyFont="1" applyFill="1" applyBorder="1" applyAlignment="1" applyProtection="1">
      <alignment horizontal="center" vertical="center" wrapText="1"/>
    </xf>
    <xf numFmtId="0" fontId="39" fillId="12" borderId="25" xfId="5" applyFont="1" applyFill="1" applyBorder="1" applyAlignment="1" applyProtection="1">
      <alignment horizontal="center" vertical="center" wrapText="1"/>
    </xf>
    <xf numFmtId="9" fontId="16" fillId="11" borderId="15" xfId="4" applyNumberFormat="1" applyBorder="1" applyAlignment="1" applyProtection="1">
      <alignment horizontal="center" vertical="center"/>
      <protection hidden="1"/>
    </xf>
    <xf numFmtId="9" fontId="16" fillId="11" borderId="50" xfId="4" applyNumberFormat="1" applyBorder="1" applyAlignment="1" applyProtection="1">
      <alignment horizontal="center" vertical="center"/>
      <protection hidden="1"/>
    </xf>
    <xf numFmtId="9" fontId="16" fillId="11" borderId="49" xfId="4" applyNumberFormat="1" applyBorder="1" applyAlignment="1" applyProtection="1">
      <alignment horizontal="center" vertical="center"/>
      <protection hidden="1"/>
    </xf>
    <xf numFmtId="0" fontId="39" fillId="12" borderId="26" xfId="5" applyFont="1" applyFill="1" applyBorder="1" applyAlignment="1" applyProtection="1">
      <alignment horizontal="center" vertical="center" wrapText="1"/>
    </xf>
    <xf numFmtId="0" fontId="39" fillId="12" borderId="27" xfId="5" applyFont="1" applyFill="1" applyBorder="1" applyAlignment="1" applyProtection="1">
      <alignment horizontal="center" vertical="center" wrapText="1"/>
    </xf>
    <xf numFmtId="0" fontId="39" fillId="12" borderId="28" xfId="5" applyFont="1" applyFill="1" applyBorder="1" applyAlignment="1" applyProtection="1">
      <alignment horizontal="center" vertical="center" wrapText="1"/>
    </xf>
    <xf numFmtId="9" fontId="36" fillId="9" borderId="16" xfId="2" applyNumberFormat="1" applyFont="1" applyBorder="1" applyAlignment="1" applyProtection="1">
      <alignment horizontal="center" vertical="center"/>
      <protection hidden="1"/>
    </xf>
    <xf numFmtId="9" fontId="36" fillId="9" borderId="52" xfId="2" applyNumberFormat="1" applyFont="1" applyBorder="1" applyAlignment="1" applyProtection="1">
      <alignment horizontal="center" vertical="center"/>
      <protection hidden="1"/>
    </xf>
    <xf numFmtId="9" fontId="14" fillId="12" borderId="51" xfId="2" applyNumberFormat="1" applyFill="1" applyBorder="1" applyAlignment="1" applyProtection="1">
      <alignment horizontal="center" vertical="center"/>
      <protection hidden="1"/>
    </xf>
    <xf numFmtId="9" fontId="14" fillId="12" borderId="52" xfId="2" applyNumberFormat="1" applyFill="1" applyBorder="1" applyAlignment="1" applyProtection="1">
      <alignment horizontal="center" vertical="center"/>
      <protection hidden="1"/>
    </xf>
    <xf numFmtId="9" fontId="0" fillId="12" borderId="51" xfId="2" applyNumberFormat="1" applyFont="1" applyFill="1" applyBorder="1" applyAlignment="1" applyProtection="1">
      <alignment horizontal="center" vertical="center"/>
      <protection hidden="1"/>
    </xf>
    <xf numFmtId="9" fontId="14" fillId="12" borderId="52" xfId="2" applyNumberFormat="1" applyFill="1" applyBorder="1" applyAlignment="1" applyProtection="1">
      <alignment horizontal="center" vertical="center"/>
      <protection hidden="1"/>
    </xf>
    <xf numFmtId="9" fontId="14" fillId="12" borderId="16" xfId="2" applyNumberFormat="1" applyFill="1" applyBorder="1" applyAlignment="1" applyProtection="1">
      <alignment horizontal="center" vertical="center"/>
      <protection hidden="1"/>
    </xf>
    <xf numFmtId="9" fontId="36" fillId="9" borderId="51" xfId="2" applyNumberFormat="1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/>
    </xf>
    <xf numFmtId="0" fontId="50" fillId="6" borderId="63" xfId="5" applyFont="1" applyFill="1" applyBorder="1" applyAlignment="1" applyProtection="1">
      <alignment horizontal="center" vertical="center"/>
      <protection locked="0"/>
    </xf>
    <xf numFmtId="0" fontId="6" fillId="12" borderId="1" xfId="2" applyFont="1" applyFill="1" applyBorder="1" applyAlignment="1" applyProtection="1">
      <alignment horizontal="left" vertical="center" wrapText="1" indent="1"/>
    </xf>
    <xf numFmtId="0" fontId="6" fillId="12" borderId="1" xfId="2" applyFont="1" applyFill="1" applyBorder="1" applyAlignment="1" applyProtection="1">
      <alignment horizontal="center" vertical="center" wrapText="1"/>
    </xf>
    <xf numFmtId="0" fontId="6" fillId="13" borderId="1" xfId="2" applyFont="1" applyFill="1" applyBorder="1" applyAlignment="1" applyProtection="1">
      <alignment horizontal="left" vertical="center" wrapText="1" indent="1"/>
    </xf>
    <xf numFmtId="0" fontId="6" fillId="13" borderId="1" xfId="2" applyFont="1" applyFill="1" applyBorder="1" applyAlignment="1" applyProtection="1">
      <alignment horizontal="center" vertical="center" wrapText="1"/>
    </xf>
    <xf numFmtId="0" fontId="6" fillId="13" borderId="1" xfId="3" applyFont="1" applyFill="1" applyBorder="1" applyAlignment="1" applyProtection="1">
      <alignment horizontal="left" vertical="center" wrapText="1" indent="1"/>
    </xf>
    <xf numFmtId="0" fontId="6" fillId="13" borderId="1" xfId="3" applyFont="1" applyFill="1" applyBorder="1" applyAlignment="1" applyProtection="1">
      <alignment horizontal="center" vertical="center" wrapText="1"/>
    </xf>
    <xf numFmtId="0" fontId="6" fillId="12" borderId="1" xfId="4" applyFont="1" applyFill="1" applyBorder="1" applyAlignment="1" applyProtection="1">
      <alignment horizontal="left" vertical="center" wrapText="1" indent="1"/>
    </xf>
    <xf numFmtId="0" fontId="6" fillId="12" borderId="1" xfId="4" applyFont="1" applyFill="1" applyBorder="1" applyAlignment="1" applyProtection="1">
      <alignment horizontal="center" vertical="center" wrapText="1"/>
    </xf>
    <xf numFmtId="0" fontId="6" fillId="13" borderId="1" xfId="4" applyFont="1" applyFill="1" applyBorder="1" applyAlignment="1" applyProtection="1">
      <alignment horizontal="left" vertical="center" wrapText="1" indent="1"/>
    </xf>
    <xf numFmtId="0" fontId="6" fillId="13" borderId="1" xfId="4" applyFont="1" applyFill="1" applyBorder="1" applyAlignment="1" applyProtection="1">
      <alignment horizontal="center" vertical="center" wrapText="1"/>
    </xf>
    <xf numFmtId="1" fontId="34" fillId="13" borderId="39" xfId="6" applyNumberFormat="1" applyFont="1" applyFill="1" applyBorder="1" applyAlignment="1" applyProtection="1">
      <alignment horizontal="right" vertical="center" shrinkToFit="1"/>
    </xf>
    <xf numFmtId="0" fontId="6" fillId="12" borderId="1" xfId="3" applyFont="1" applyFill="1" applyBorder="1" applyAlignment="1" applyProtection="1">
      <alignment horizontal="left" vertical="center" wrapText="1" indent="1"/>
    </xf>
    <xf numFmtId="0" fontId="6" fillId="12" borderId="1" xfId="3" applyFont="1" applyFill="1" applyBorder="1" applyAlignment="1" applyProtection="1">
      <alignment horizontal="center" vertical="center" wrapText="1"/>
    </xf>
    <xf numFmtId="0" fontId="17" fillId="6" borderId="0" xfId="0" applyFont="1" applyFill="1" applyAlignment="1" applyProtection="1">
      <alignment vertical="center"/>
    </xf>
    <xf numFmtId="0" fontId="41" fillId="6" borderId="0" xfId="0" applyFont="1" applyFill="1" applyAlignment="1" applyProtection="1">
      <alignment vertical="center"/>
    </xf>
    <xf numFmtId="0" fontId="0" fillId="0" borderId="0" xfId="0" applyFill="1" applyProtection="1"/>
    <xf numFmtId="0" fontId="55" fillId="6" borderId="0" xfId="5" applyFont="1" applyFill="1" applyAlignment="1" applyProtection="1">
      <alignment horizontal="center" vertical="center"/>
      <protection locked="0"/>
    </xf>
    <xf numFmtId="0" fontId="42" fillId="6" borderId="0" xfId="5" applyFont="1" applyFill="1" applyAlignment="1" applyProtection="1">
      <alignment horizontal="center" vertical="center"/>
      <protection locked="0"/>
    </xf>
  </cellXfs>
  <cellStyles count="9">
    <cellStyle name="Bad" xfId="3" builtinId="27"/>
    <cellStyle name="Good" xfId="2" builtinId="26"/>
    <cellStyle name="Hyperlink" xfId="5" builtinId="8"/>
    <cellStyle name="Neutral" xfId="4" builtinId="28"/>
    <cellStyle name="Normal" xfId="0" builtinId="0"/>
    <cellStyle name="Normal 2" xfId="6" xr:uid="{00000000-0005-0000-0000-000005000000}"/>
    <cellStyle name="Normal 2 2 2" xfId="7" xr:uid="{00000000-0005-0000-0000-000006000000}"/>
    <cellStyle name="Normal 5" xfId="1" xr:uid="{00000000-0005-0000-0000-000007000000}"/>
    <cellStyle name="Percent" xfId="8" builtinId="5"/>
  </cellStyles>
  <dxfs count="202">
    <dxf>
      <font>
        <color rgb="FF7C2855"/>
      </font>
      <fill>
        <patternFill>
          <bgColor rgb="FFF1D3E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7C2855"/>
      </font>
      <fill>
        <patternFill>
          <bgColor rgb="FFF1D3E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 tint="-0.24994659260841701"/>
      </font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theme="0" tint="-0.24994659260841701"/>
      </font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theme="0" tint="-0.24994659260841701"/>
      </font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theme="0" tint="-0.24994659260841701"/>
      </font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theme="0" tint="-0.24994659260841701"/>
      </font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theme="0" tint="-0.24994659260841701"/>
      </font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theme="0" tint="-0.24994659260841701"/>
      </font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theme="0" tint="-0.24994659260841701"/>
      </font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C2307C"/>
      <color rgb="FF7C2855"/>
      <color rgb="FFFFC7CE"/>
      <color rgb="FFF1D3E3"/>
      <color rgb="FF9C0006"/>
      <color rgb="FF9C6500"/>
      <color rgb="FFFFEB9C"/>
      <color rgb="FF006100"/>
      <color rgb="FFC6EFCE"/>
      <color rgb="FFC4EF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Adults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5574187955761621"/>
          <c:y val="0.1026178010471204"/>
          <c:w val="0.60042714210719028"/>
          <c:h val="0.7961633068117793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'Graph data Q1'!$J$9</c:f>
              <c:strCache>
                <c:ptCount val="1"/>
                <c:pt idx="0">
                  <c:v>Local Consultant</c:v>
                </c:pt>
              </c:strCache>
            </c:strRef>
          </c:tx>
          <c:spPr>
            <a:solidFill>
              <a:srgbClr val="C2307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data Q1'!$I$10:$I$26</c:f>
              <c:strCache>
                <c:ptCount val="17"/>
                <c:pt idx="0">
                  <c:v>Cardiff &amp; Vale UHB, Noah’s Ark / University Hospital Wales</c:v>
                </c:pt>
                <c:pt idx="1">
                  <c:v>Exeter, Royal Devon and Exeter Hospital </c:v>
                </c:pt>
                <c:pt idx="2">
                  <c:v>Plymouth, Derriford Hospital </c:v>
                </c:pt>
                <c:pt idx="3">
                  <c:v>Swindon, Great Weston Hospital </c:v>
                </c:pt>
                <c:pt idx="4">
                  <c:v>Truro, Royal Cornwall Hospital </c:v>
                </c:pt>
                <c:pt idx="5">
                  <c:v>Torquay, Torbay General District Hospital </c:v>
                </c:pt>
                <c:pt idx="6">
                  <c:v>Aneurin Bevan UHB, Nevill Hall &amp; Royal Gwent Hospitals</c:v>
                </c:pt>
                <c:pt idx="7">
                  <c:v>Cwm Taf Morgannwg UHB, Princess of Wales Hospital</c:v>
                </c:pt>
                <c:pt idx="8">
                  <c:v>Cwm Taf Morgannwg UHB, Royal Glamorgan Hospital </c:v>
                </c:pt>
                <c:pt idx="9">
                  <c:v>Cwm Taf Morgannwg UHB, Prince Charles Hospital</c:v>
                </c:pt>
                <c:pt idx="10">
                  <c:v>Hywel Dda UHB, Withybush Hospital</c:v>
                </c:pt>
                <c:pt idx="11">
                  <c:v>Taunton, Musgrove Park Hospital </c:v>
                </c:pt>
                <c:pt idx="12">
                  <c:v>Hywel Dda UHB, Glangwilli Hospital</c:v>
                </c:pt>
                <c:pt idx="13">
                  <c:v>Gloucester, Gloucestershire Hospitals</c:v>
                </c:pt>
                <c:pt idx="14">
                  <c:v>Bristol, Bristol Heart Institute / Bristol Royal Hospital for Children</c:v>
                </c:pt>
                <c:pt idx="15">
                  <c:v>Barnstaple, North Devon District Hospital </c:v>
                </c:pt>
                <c:pt idx="16">
                  <c:v>Swansea Bay UHB, Morriston / Singleton Hospitals</c:v>
                </c:pt>
              </c:strCache>
            </c:strRef>
          </c:cat>
          <c:val>
            <c:numRef>
              <c:f>'Graph data Q1'!$J$10:$J$26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</c:v>
                </c:pt>
                <c:pt idx="12">
                  <c:v>0</c:v>
                </c:pt>
                <c:pt idx="13">
                  <c:v>13</c:v>
                </c:pt>
                <c:pt idx="14">
                  <c:v>22</c:v>
                </c:pt>
                <c:pt idx="15">
                  <c:v>27</c:v>
                </c:pt>
                <c:pt idx="16">
                  <c:v>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E5-4920-A981-18C9C6893F16}"/>
            </c:ext>
          </c:extLst>
        </c:ser>
        <c:ser>
          <c:idx val="1"/>
          <c:order val="1"/>
          <c:tx>
            <c:strRef>
              <c:f>'Graph data Q1'!$K$9</c:f>
              <c:strCache>
                <c:ptCount val="1"/>
                <c:pt idx="0">
                  <c:v>Visiting Consultant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data Q1'!$I$10:$I$26</c:f>
              <c:strCache>
                <c:ptCount val="17"/>
                <c:pt idx="0">
                  <c:v>Cardiff &amp; Vale UHB, Noah’s Ark / University Hospital Wales</c:v>
                </c:pt>
                <c:pt idx="1">
                  <c:v>Exeter, Royal Devon and Exeter Hospital </c:v>
                </c:pt>
                <c:pt idx="2">
                  <c:v>Plymouth, Derriford Hospital </c:v>
                </c:pt>
                <c:pt idx="3">
                  <c:v>Swindon, Great Weston Hospital </c:v>
                </c:pt>
                <c:pt idx="4">
                  <c:v>Truro, Royal Cornwall Hospital </c:v>
                </c:pt>
                <c:pt idx="5">
                  <c:v>Torquay, Torbay General District Hospital </c:v>
                </c:pt>
                <c:pt idx="6">
                  <c:v>Aneurin Bevan UHB, Nevill Hall &amp; Royal Gwent Hospitals</c:v>
                </c:pt>
                <c:pt idx="7">
                  <c:v>Cwm Taf Morgannwg UHB, Princess of Wales Hospital</c:v>
                </c:pt>
                <c:pt idx="8">
                  <c:v>Cwm Taf Morgannwg UHB, Royal Glamorgan Hospital </c:v>
                </c:pt>
                <c:pt idx="9">
                  <c:v>Cwm Taf Morgannwg UHB, Prince Charles Hospital</c:v>
                </c:pt>
                <c:pt idx="10">
                  <c:v>Hywel Dda UHB, Withybush Hospital</c:v>
                </c:pt>
                <c:pt idx="11">
                  <c:v>Taunton, Musgrove Park Hospital </c:v>
                </c:pt>
                <c:pt idx="12">
                  <c:v>Hywel Dda UHB, Glangwilli Hospital</c:v>
                </c:pt>
                <c:pt idx="13">
                  <c:v>Gloucester, Gloucestershire Hospitals</c:v>
                </c:pt>
                <c:pt idx="14">
                  <c:v>Bristol, Bristol Heart Institute / Bristol Royal Hospital for Children</c:v>
                </c:pt>
                <c:pt idx="15">
                  <c:v>Barnstaple, North Devon District Hospital </c:v>
                </c:pt>
                <c:pt idx="16">
                  <c:v>Swansea Bay UHB, Morriston / Singleton Hospitals</c:v>
                </c:pt>
              </c:strCache>
            </c:strRef>
          </c:cat>
          <c:val>
            <c:numRef>
              <c:f>'Graph data Q1'!$K$10:$K$26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12</c:v>
                </c:pt>
                <c:pt idx="12">
                  <c:v>13</c:v>
                </c:pt>
                <c:pt idx="13">
                  <c:v>13</c:v>
                </c:pt>
                <c:pt idx="14">
                  <c:v>0</c:v>
                </c:pt>
                <c:pt idx="15">
                  <c:v>27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E5-4920-A981-18C9C6893F1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2"/>
        <c:axId val="237606784"/>
        <c:axId val="237608320"/>
      </c:barChart>
      <c:catAx>
        <c:axId val="2376067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237608320"/>
        <c:crosses val="autoZero"/>
        <c:auto val="1"/>
        <c:lblAlgn val="ctr"/>
        <c:lblOffset val="100"/>
        <c:noMultiLvlLbl val="0"/>
      </c:catAx>
      <c:valAx>
        <c:axId val="237608320"/>
        <c:scaling>
          <c:orientation val="minMax"/>
          <c:max val="100"/>
        </c:scaling>
        <c:delete val="1"/>
        <c:axPos val="b"/>
        <c:numFmt formatCode="General" sourceLinked="1"/>
        <c:majorTickMark val="out"/>
        <c:minorTickMark val="none"/>
        <c:tickLblPos val="nextTo"/>
        <c:crossAx val="237606784"/>
        <c:crosses val="autoZero"/>
        <c:crossBetween val="between"/>
        <c:majorUnit val="20"/>
      </c:valAx>
      <c:spPr>
        <a:solidFill>
          <a:schemeClr val="bg1"/>
        </a:solidFill>
      </c:spPr>
    </c:plotArea>
    <c:legend>
      <c:legendPos val="r"/>
      <c:layout>
        <c:manualLayout>
          <c:xMode val="edge"/>
          <c:yMode val="edge"/>
          <c:x val="0.78695589286939105"/>
          <c:y val="0.67280510009464178"/>
          <c:w val="0.14056246075902576"/>
          <c:h val="9.2121749348995779E-2"/>
        </c:manualLayout>
      </c:layout>
      <c:overlay val="0"/>
      <c:spPr>
        <a:ln>
          <a:solidFill>
            <a:schemeClr val="bg1">
              <a:lumMod val="65000"/>
            </a:schemeClr>
          </a:solidFill>
        </a:ln>
      </c:spPr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Adult</a:t>
            </a:r>
            <a:r>
              <a:rPr lang="en-US" baseline="0"/>
              <a:t> DNA rate (%) -  </a:t>
            </a:r>
            <a:r>
              <a:rPr lang="en-US"/>
              <a:t>Visiting consultant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4387732523940443"/>
          <c:y val="0.11659730608107916"/>
          <c:w val="0.47367759417312688"/>
          <c:h val="0.8138147826301874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'Graph data Q1'!$O$80</c:f>
              <c:strCache>
                <c:ptCount val="1"/>
                <c:pt idx="0">
                  <c:v>Visiting consultant</c:v>
                </c:pt>
              </c:strCache>
            </c:strRef>
          </c:tx>
          <c:spPr>
            <a:solidFill>
              <a:srgbClr val="7C285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data Q1'!$N$81:$N$97</c:f>
              <c:strCache>
                <c:ptCount val="17"/>
                <c:pt idx="0">
                  <c:v>Cardiff &amp; Vale UHB, Noah’s Ark / University Hospital Wales</c:v>
                </c:pt>
                <c:pt idx="1">
                  <c:v>Exeter, Royal Devon and Exeter Hospital </c:v>
                </c:pt>
                <c:pt idx="2">
                  <c:v>Plymouth, Derriford Hospital </c:v>
                </c:pt>
                <c:pt idx="3">
                  <c:v>Swindon, Great Weston Hospital </c:v>
                </c:pt>
                <c:pt idx="4">
                  <c:v>Truro, Royal Cornwall Hospital </c:v>
                </c:pt>
                <c:pt idx="5">
                  <c:v>Torquay, Torbay General District Hospital </c:v>
                </c:pt>
                <c:pt idx="6">
                  <c:v>Aneurin Bevan UHB, Nevill Hall &amp; Royal Gwent Hospitals</c:v>
                </c:pt>
                <c:pt idx="7">
                  <c:v>Cwm Taf Morgannwg UHB, Princess of Wales Hospital</c:v>
                </c:pt>
                <c:pt idx="8">
                  <c:v>Cwm Taf Morgannwg UHB, Royal Glamorgan Hospital </c:v>
                </c:pt>
                <c:pt idx="9">
                  <c:v>Cwm Taf Morgannwg UHB, Prince Charles Hospital</c:v>
                </c:pt>
                <c:pt idx="10">
                  <c:v>Hywel Dda UHB, Withybush Hospital</c:v>
                </c:pt>
                <c:pt idx="11">
                  <c:v>Swansea Bay UHB, Morriston / Singleton Hospitals</c:v>
                </c:pt>
                <c:pt idx="12">
                  <c:v>Bristol, Bristol Heart Institute / Bristol Royal Hospital for Children</c:v>
                </c:pt>
                <c:pt idx="13">
                  <c:v>Hywel Dda UHB, Glangwilli Hospital</c:v>
                </c:pt>
                <c:pt idx="14">
                  <c:v>Barnstaple, North Devon District Hospital </c:v>
                </c:pt>
                <c:pt idx="15">
                  <c:v>Gloucester, Gloucestershire Hospitals</c:v>
                </c:pt>
                <c:pt idx="16">
                  <c:v>Taunton, Musgrove Park Hospital </c:v>
                </c:pt>
              </c:strCache>
            </c:strRef>
          </c:cat>
          <c:val>
            <c:numRef>
              <c:f>'Graph data Q1'!$O$81:$O$97</c:f>
              <c:numCache>
                <c:formatCode>0%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7.4999999999999997E-2</c:v>
                </c:pt>
                <c:pt idx="14">
                  <c:v>0.14000000000000001</c:v>
                </c:pt>
                <c:pt idx="15">
                  <c:v>0.148148148148148</c:v>
                </c:pt>
                <c:pt idx="16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7-4A77-B05E-6CE5B2B15EB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238411776"/>
        <c:axId val="238414464"/>
      </c:barChart>
      <c:catAx>
        <c:axId val="23841177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38414464"/>
        <c:crosses val="autoZero"/>
        <c:auto val="1"/>
        <c:lblAlgn val="ctr"/>
        <c:lblOffset val="100"/>
        <c:noMultiLvlLbl val="0"/>
      </c:catAx>
      <c:valAx>
        <c:axId val="238414464"/>
        <c:scaling>
          <c:orientation val="minMax"/>
          <c:max val="0.35000000000000003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crossAx val="238411776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Adults - Range and Median DNA (%) - Year to Date </a:t>
            </a:r>
          </a:p>
        </c:rich>
      </c:tx>
      <c:overlay val="0"/>
    </c:title>
    <c:autoTitleDeleted val="0"/>
    <c:plotArea>
      <c:layout/>
      <c:stockChart>
        <c:ser>
          <c:idx val="1"/>
          <c:order val="0"/>
          <c:tx>
            <c:v>High</c:v>
          </c:tx>
          <c:spPr>
            <a:ln w="28575">
              <a:noFill/>
            </a:ln>
          </c:spPr>
          <c:marker>
            <c:symbol val="none"/>
          </c:marker>
          <c:cat>
            <c:multiLvlStrRef>
              <c:f>'Graph data Q1'!$F$101:$M$102</c:f>
              <c:multiLvlStrCache>
                <c:ptCount val="8"/>
                <c:lvl>
                  <c:pt idx="0">
                    <c:v>Local consultant</c:v>
                  </c:pt>
                  <c:pt idx="1">
                    <c:v>Visiting consultant </c:v>
                  </c:pt>
                  <c:pt idx="2">
                    <c:v>Local consultant</c:v>
                  </c:pt>
                  <c:pt idx="3">
                    <c:v>Visiting consultant </c:v>
                  </c:pt>
                  <c:pt idx="4">
                    <c:v>Local consultant</c:v>
                  </c:pt>
                  <c:pt idx="5">
                    <c:v>Visiting consultant </c:v>
                  </c:pt>
                  <c:pt idx="6">
                    <c:v>Local consultant</c:v>
                  </c:pt>
                  <c:pt idx="7">
                    <c:v>Visiting consultant </c:v>
                  </c:pt>
                </c:lvl>
                <c:lvl>
                  <c:pt idx="0">
                    <c:v>Q1</c:v>
                  </c:pt>
                  <c:pt idx="2">
                    <c:v>Q2</c:v>
                  </c:pt>
                  <c:pt idx="4">
                    <c:v>Q3</c:v>
                  </c:pt>
                  <c:pt idx="6">
                    <c:v>Q4</c:v>
                  </c:pt>
                </c:lvl>
              </c:multiLvlStrCache>
            </c:multiLvlStrRef>
          </c:cat>
          <c:val>
            <c:numRef>
              <c:f>'Graph data Q1'!$F$103:$M$103</c:f>
              <c:numCache>
                <c:formatCode>0%</c:formatCode>
                <c:ptCount val="8"/>
                <c:pt idx="0">
                  <c:v>0.15</c:v>
                </c:pt>
                <c:pt idx="1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A3-4CD1-9AA7-BE661D663D89}"/>
            </c:ext>
          </c:extLst>
        </c:ser>
        <c:ser>
          <c:idx val="0"/>
          <c:order val="1"/>
          <c:tx>
            <c:v>Low</c:v>
          </c:tx>
          <c:spPr>
            <a:ln w="28575">
              <a:noFill/>
            </a:ln>
          </c:spPr>
          <c:marker>
            <c:symbol val="none"/>
          </c:marker>
          <c:val>
            <c:numRef>
              <c:f>'Graph data Q1'!$F$104:$M$104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A3-4CD1-9AA7-BE661D663D89}"/>
            </c:ext>
          </c:extLst>
        </c:ser>
        <c:ser>
          <c:idx val="2"/>
          <c:order val="2"/>
          <c:tx>
            <c:v>Median</c:v>
          </c:tx>
          <c:spPr>
            <a:ln w="28575">
              <a:noFill/>
            </a:ln>
          </c:spPr>
          <c:marker>
            <c:symbol val="diamond"/>
            <c:size val="10"/>
            <c:spPr>
              <a:solidFill>
                <a:srgbClr val="7C2855"/>
              </a:solidFill>
              <a:ln>
                <a:noFill/>
              </a:ln>
            </c:spPr>
          </c:marker>
          <c:val>
            <c:numRef>
              <c:f>'Graph data Q1'!$F$105:$M$105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A3-4CD1-9AA7-BE661D663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8575">
              <a:solidFill>
                <a:srgbClr val="7C2855"/>
              </a:solidFill>
            </a:ln>
          </c:spPr>
        </c:hiLowLines>
        <c:axId val="238444928"/>
        <c:axId val="238446464"/>
      </c:stockChart>
      <c:catAx>
        <c:axId val="2384449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38446464"/>
        <c:crosses val="autoZero"/>
        <c:auto val="1"/>
        <c:lblAlgn val="ctr"/>
        <c:lblOffset val="100"/>
        <c:noMultiLvlLbl val="0"/>
      </c:catAx>
      <c:valAx>
        <c:axId val="238446464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crossAx val="2384449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Paediatrics - Range and Median DNA (%)</a:t>
            </a:r>
            <a:r>
              <a:rPr lang="en-US" baseline="0"/>
              <a:t> -</a:t>
            </a:r>
            <a:r>
              <a:rPr lang="en-US"/>
              <a:t> Year to Date </a:t>
            </a:r>
          </a:p>
        </c:rich>
      </c:tx>
      <c:overlay val="0"/>
    </c:title>
    <c:autoTitleDeleted val="0"/>
    <c:plotArea>
      <c:layout/>
      <c:stockChart>
        <c:ser>
          <c:idx val="0"/>
          <c:order val="0"/>
          <c:tx>
            <c:strRef>
              <c:f>'Graph data Q1'!$E$109</c:f>
              <c:strCache>
                <c:ptCount val="1"/>
                <c:pt idx="0">
                  <c:v>High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multiLvlStrRef>
              <c:f>'Graph data Q1'!$F$107:$M$108</c:f>
              <c:multiLvlStrCache>
                <c:ptCount val="8"/>
                <c:lvl>
                  <c:pt idx="0">
                    <c:v>Local consultant</c:v>
                  </c:pt>
                  <c:pt idx="1">
                    <c:v>Visiting consultant </c:v>
                  </c:pt>
                  <c:pt idx="2">
                    <c:v>Local consultant</c:v>
                  </c:pt>
                  <c:pt idx="3">
                    <c:v>Visiting consultant </c:v>
                  </c:pt>
                  <c:pt idx="4">
                    <c:v>Local consultant</c:v>
                  </c:pt>
                  <c:pt idx="5">
                    <c:v>Visiting consultant </c:v>
                  </c:pt>
                  <c:pt idx="6">
                    <c:v>Local consultant</c:v>
                  </c:pt>
                  <c:pt idx="7">
                    <c:v>Visiting consultant </c:v>
                  </c:pt>
                </c:lvl>
                <c:lvl>
                  <c:pt idx="0">
                    <c:v>Q1</c:v>
                  </c:pt>
                  <c:pt idx="2">
                    <c:v>Q2</c:v>
                  </c:pt>
                  <c:pt idx="4">
                    <c:v>Q3</c:v>
                  </c:pt>
                  <c:pt idx="6">
                    <c:v>Q4</c:v>
                  </c:pt>
                </c:lvl>
              </c:multiLvlStrCache>
            </c:multiLvlStrRef>
          </c:cat>
          <c:val>
            <c:numRef>
              <c:f>'Graph data Q1'!$F$109:$M$109</c:f>
              <c:numCache>
                <c:formatCode>0%</c:formatCode>
                <c:ptCount val="8"/>
                <c:pt idx="0">
                  <c:v>0.28999999999999998</c:v>
                </c:pt>
                <c:pt idx="1">
                  <c:v>0.12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F0-41D5-BA60-207E58A1A440}"/>
            </c:ext>
          </c:extLst>
        </c:ser>
        <c:ser>
          <c:idx val="1"/>
          <c:order val="1"/>
          <c:tx>
            <c:strRef>
              <c:f>'Graph data Q1'!$E$110</c:f>
              <c:strCache>
                <c:ptCount val="1"/>
                <c:pt idx="0">
                  <c:v>Low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multiLvlStrRef>
              <c:f>'Graph data Q1'!$F$107:$M$108</c:f>
              <c:multiLvlStrCache>
                <c:ptCount val="8"/>
                <c:lvl>
                  <c:pt idx="0">
                    <c:v>Local consultant</c:v>
                  </c:pt>
                  <c:pt idx="1">
                    <c:v>Visiting consultant </c:v>
                  </c:pt>
                  <c:pt idx="2">
                    <c:v>Local consultant</c:v>
                  </c:pt>
                  <c:pt idx="3">
                    <c:v>Visiting consultant </c:v>
                  </c:pt>
                  <c:pt idx="4">
                    <c:v>Local consultant</c:v>
                  </c:pt>
                  <c:pt idx="5">
                    <c:v>Visiting consultant </c:v>
                  </c:pt>
                  <c:pt idx="6">
                    <c:v>Local consultant</c:v>
                  </c:pt>
                  <c:pt idx="7">
                    <c:v>Visiting consultant </c:v>
                  </c:pt>
                </c:lvl>
                <c:lvl>
                  <c:pt idx="0">
                    <c:v>Q1</c:v>
                  </c:pt>
                  <c:pt idx="2">
                    <c:v>Q2</c:v>
                  </c:pt>
                  <c:pt idx="4">
                    <c:v>Q3</c:v>
                  </c:pt>
                  <c:pt idx="6">
                    <c:v>Q4</c:v>
                  </c:pt>
                </c:lvl>
              </c:multiLvlStrCache>
            </c:multiLvlStrRef>
          </c:cat>
          <c:val>
            <c:numRef>
              <c:f>'Graph data Q1'!$F$110:$M$110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F0-41D5-BA60-207E58A1A440}"/>
            </c:ext>
          </c:extLst>
        </c:ser>
        <c:ser>
          <c:idx val="2"/>
          <c:order val="2"/>
          <c:tx>
            <c:strRef>
              <c:f>'Graph data Q1'!$E$111</c:f>
              <c:strCache>
                <c:ptCount val="1"/>
                <c:pt idx="0">
                  <c:v>Median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9"/>
            <c:spPr>
              <a:solidFill>
                <a:srgbClr val="C2307C"/>
              </a:solidFill>
              <a:ln>
                <a:noFill/>
              </a:ln>
            </c:spPr>
          </c:marker>
          <c:cat>
            <c:multiLvlStrRef>
              <c:f>'Graph data Q1'!$F$107:$M$108</c:f>
              <c:multiLvlStrCache>
                <c:ptCount val="8"/>
                <c:lvl>
                  <c:pt idx="0">
                    <c:v>Local consultant</c:v>
                  </c:pt>
                  <c:pt idx="1">
                    <c:v>Visiting consultant </c:v>
                  </c:pt>
                  <c:pt idx="2">
                    <c:v>Local consultant</c:v>
                  </c:pt>
                  <c:pt idx="3">
                    <c:v>Visiting consultant </c:v>
                  </c:pt>
                  <c:pt idx="4">
                    <c:v>Local consultant</c:v>
                  </c:pt>
                  <c:pt idx="5">
                    <c:v>Visiting consultant </c:v>
                  </c:pt>
                  <c:pt idx="6">
                    <c:v>Local consultant</c:v>
                  </c:pt>
                  <c:pt idx="7">
                    <c:v>Visiting consultant </c:v>
                  </c:pt>
                </c:lvl>
                <c:lvl>
                  <c:pt idx="0">
                    <c:v>Q1</c:v>
                  </c:pt>
                  <c:pt idx="2">
                    <c:v>Q2</c:v>
                  </c:pt>
                  <c:pt idx="4">
                    <c:v>Q3</c:v>
                  </c:pt>
                  <c:pt idx="6">
                    <c:v>Q4</c:v>
                  </c:pt>
                </c:lvl>
              </c:multiLvlStrCache>
            </c:multiLvlStrRef>
          </c:cat>
          <c:val>
            <c:numRef>
              <c:f>'Graph data Q1'!$F$111:$M$111</c:f>
              <c:numCache>
                <c:formatCode>0%</c:formatCode>
                <c:ptCount val="8"/>
                <c:pt idx="0">
                  <c:v>0.08</c:v>
                </c:pt>
                <c:pt idx="1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F0-41D5-BA60-207E58A1A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8575">
              <a:solidFill>
                <a:srgbClr val="C2307C"/>
              </a:solidFill>
            </a:ln>
          </c:spPr>
        </c:hiLowLines>
        <c:axId val="238488960"/>
        <c:axId val="238490752"/>
      </c:stockChart>
      <c:catAx>
        <c:axId val="2384889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38490752"/>
        <c:crosses val="autoZero"/>
        <c:auto val="1"/>
        <c:lblAlgn val="ctr"/>
        <c:lblOffset val="100"/>
        <c:noMultiLvlLbl val="0"/>
      </c:catAx>
      <c:valAx>
        <c:axId val="23849075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384889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Adults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5574187955761621"/>
          <c:y val="0.1026178010471204"/>
          <c:w val="0.60042714210719028"/>
          <c:h val="0.7961633068117793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'Graph data Q2'!$J$9</c:f>
              <c:strCache>
                <c:ptCount val="1"/>
                <c:pt idx="0">
                  <c:v>Local Consultant</c:v>
                </c:pt>
              </c:strCache>
            </c:strRef>
          </c:tx>
          <c:spPr>
            <a:solidFill>
              <a:srgbClr val="C2307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data Q2'!$I$10:$I$26</c:f>
              <c:strCache>
                <c:ptCount val="17"/>
                <c:pt idx="0">
                  <c:v>Hywel Dda UHB, Glangwilli Hospital</c:v>
                </c:pt>
                <c:pt idx="1">
                  <c:v>Exeter, Royal Devon and Exeter Hospital </c:v>
                </c:pt>
                <c:pt idx="2">
                  <c:v>Swindon, Great Weston Hospital </c:v>
                </c:pt>
                <c:pt idx="3">
                  <c:v>Truro, Royal Cornwall Hospital </c:v>
                </c:pt>
                <c:pt idx="4">
                  <c:v>Aneurin Bevan UHB, Nevill Hall &amp; Royal Gwent Hospitals</c:v>
                </c:pt>
                <c:pt idx="5">
                  <c:v>Cwm Taf Morgannwg UHB, Princess of Wales Hospital</c:v>
                </c:pt>
                <c:pt idx="6">
                  <c:v>Cwm Taf Morgannwg UHB, Royal Glamorgan Hospital </c:v>
                </c:pt>
                <c:pt idx="7">
                  <c:v>Cwm Taf Morgannwg UHB, Prince Charles Hospital</c:v>
                </c:pt>
                <c:pt idx="8">
                  <c:v>Hywel Dda UHB, Withybush Hospital</c:v>
                </c:pt>
                <c:pt idx="9">
                  <c:v>Taunton, Musgrove Park Hospital </c:v>
                </c:pt>
                <c:pt idx="10">
                  <c:v>Swansea Bay UHB, Morriston / Singleton Hospitals</c:v>
                </c:pt>
                <c:pt idx="11">
                  <c:v>Torquay, Torbay General District Hospital </c:v>
                </c:pt>
                <c:pt idx="12">
                  <c:v>Gloucester, Gloucestershire Hospitals</c:v>
                </c:pt>
                <c:pt idx="13">
                  <c:v>Cardiff &amp; Vale UHB, Noah’s Ark / University Hospital Wales</c:v>
                </c:pt>
                <c:pt idx="14">
                  <c:v>Barnstaple, North Devon District Hospital </c:v>
                </c:pt>
                <c:pt idx="15">
                  <c:v>Bristol, Bristol Heart Institute / Bristol Royal Hospital for Children</c:v>
                </c:pt>
                <c:pt idx="16">
                  <c:v>Plymouth, Derriford Hospital </c:v>
                </c:pt>
              </c:strCache>
            </c:strRef>
          </c:cat>
          <c:val>
            <c:numRef>
              <c:f>'Graph data Q2'!$J$10:$J$26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3</c:v>
                </c:pt>
                <c:pt idx="11">
                  <c:v>5</c:v>
                </c:pt>
                <c:pt idx="12">
                  <c:v>12</c:v>
                </c:pt>
                <c:pt idx="13">
                  <c:v>24</c:v>
                </c:pt>
                <c:pt idx="14">
                  <c:v>32</c:v>
                </c:pt>
                <c:pt idx="15">
                  <c:v>34</c:v>
                </c:pt>
                <c:pt idx="16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E5-4920-A981-18C9C6893F16}"/>
            </c:ext>
          </c:extLst>
        </c:ser>
        <c:ser>
          <c:idx val="1"/>
          <c:order val="1"/>
          <c:tx>
            <c:strRef>
              <c:f>'Graph data Q2'!$K$9</c:f>
              <c:strCache>
                <c:ptCount val="1"/>
                <c:pt idx="0">
                  <c:v>Visiting Consultant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data Q2'!$I$10:$I$26</c:f>
              <c:strCache>
                <c:ptCount val="17"/>
                <c:pt idx="0">
                  <c:v>Hywel Dda UHB, Glangwilli Hospital</c:v>
                </c:pt>
                <c:pt idx="1">
                  <c:v>Exeter, Royal Devon and Exeter Hospital </c:v>
                </c:pt>
                <c:pt idx="2">
                  <c:v>Swindon, Great Weston Hospital </c:v>
                </c:pt>
                <c:pt idx="3">
                  <c:v>Truro, Royal Cornwall Hospital </c:v>
                </c:pt>
                <c:pt idx="4">
                  <c:v>Aneurin Bevan UHB, Nevill Hall &amp; Royal Gwent Hospitals</c:v>
                </c:pt>
                <c:pt idx="5">
                  <c:v>Cwm Taf Morgannwg UHB, Princess of Wales Hospital</c:v>
                </c:pt>
                <c:pt idx="6">
                  <c:v>Cwm Taf Morgannwg UHB, Royal Glamorgan Hospital </c:v>
                </c:pt>
                <c:pt idx="7">
                  <c:v>Cwm Taf Morgannwg UHB, Prince Charles Hospital</c:v>
                </c:pt>
                <c:pt idx="8">
                  <c:v>Hywel Dda UHB, Withybush Hospital</c:v>
                </c:pt>
                <c:pt idx="9">
                  <c:v>Taunton, Musgrove Park Hospital </c:v>
                </c:pt>
                <c:pt idx="10">
                  <c:v>Swansea Bay UHB, Morriston / Singleton Hospitals</c:v>
                </c:pt>
                <c:pt idx="11">
                  <c:v>Torquay, Torbay General District Hospital </c:v>
                </c:pt>
                <c:pt idx="12">
                  <c:v>Gloucester, Gloucestershire Hospitals</c:v>
                </c:pt>
                <c:pt idx="13">
                  <c:v>Cardiff &amp; Vale UHB, Noah’s Ark / University Hospital Wales</c:v>
                </c:pt>
                <c:pt idx="14">
                  <c:v>Barnstaple, North Devon District Hospital </c:v>
                </c:pt>
                <c:pt idx="15">
                  <c:v>Bristol, Bristol Heart Institute / Bristol Royal Hospital for Children</c:v>
                </c:pt>
                <c:pt idx="16">
                  <c:v>Plymouth, Derriford Hospital </c:v>
                </c:pt>
              </c:strCache>
            </c:strRef>
          </c:cat>
          <c:val>
            <c:numRef>
              <c:f>'Graph data Q2'!$K$10:$K$26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8</c:v>
                </c:pt>
                <c:pt idx="10">
                  <c:v>0</c:v>
                </c:pt>
                <c:pt idx="11">
                  <c:v>0</c:v>
                </c:pt>
                <c:pt idx="12">
                  <c:v>12</c:v>
                </c:pt>
                <c:pt idx="13">
                  <c:v>0</c:v>
                </c:pt>
                <c:pt idx="14">
                  <c:v>32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E5-4920-A981-18C9C6893F1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2"/>
        <c:axId val="241302912"/>
        <c:axId val="238765184"/>
      </c:barChart>
      <c:catAx>
        <c:axId val="2413029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238765184"/>
        <c:crosses val="autoZero"/>
        <c:auto val="1"/>
        <c:lblAlgn val="ctr"/>
        <c:lblOffset val="100"/>
        <c:noMultiLvlLbl val="0"/>
      </c:catAx>
      <c:valAx>
        <c:axId val="238765184"/>
        <c:scaling>
          <c:orientation val="minMax"/>
          <c:max val="100"/>
        </c:scaling>
        <c:delete val="1"/>
        <c:axPos val="b"/>
        <c:numFmt formatCode="General" sourceLinked="1"/>
        <c:majorTickMark val="out"/>
        <c:minorTickMark val="none"/>
        <c:tickLblPos val="nextTo"/>
        <c:crossAx val="241302912"/>
        <c:crosses val="autoZero"/>
        <c:crossBetween val="between"/>
        <c:majorUnit val="20"/>
      </c:valAx>
      <c:spPr>
        <a:solidFill>
          <a:schemeClr val="bg1"/>
        </a:solidFill>
      </c:spPr>
    </c:plotArea>
    <c:legend>
      <c:legendPos val="r"/>
      <c:layout>
        <c:manualLayout>
          <c:xMode val="edge"/>
          <c:yMode val="edge"/>
          <c:x val="0.78695589286939105"/>
          <c:y val="0.67280510009464178"/>
          <c:w val="0.14056246075902576"/>
          <c:h val="9.2121749348995779E-2"/>
        </c:manualLayout>
      </c:layout>
      <c:overlay val="0"/>
      <c:spPr>
        <a:ln>
          <a:solidFill>
            <a:schemeClr val="bg1">
              <a:lumMod val="65000"/>
            </a:schemeClr>
          </a:solidFill>
        </a:ln>
      </c:spPr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Paediatrics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43185265910025467"/>
          <c:y val="9.9829421073910379E-2"/>
          <c:w val="0.5536216283431713"/>
          <c:h val="0.8326725916230113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'Graph data Q2'!$C$9</c:f>
              <c:strCache>
                <c:ptCount val="1"/>
                <c:pt idx="0">
                  <c:v>Local Consultant</c:v>
                </c:pt>
              </c:strCache>
            </c:strRef>
          </c:tx>
          <c:spPr>
            <a:solidFill>
              <a:srgbClr val="C2307C"/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51-41D0-8523-75E336DDB3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data Q2'!$B$10:$B$27</c:f>
              <c:strCache>
                <c:ptCount val="18"/>
                <c:pt idx="0">
                  <c:v>Barnstaple, North Devon District Hospital </c:v>
                </c:pt>
                <c:pt idx="1">
                  <c:v>Gloucester, Gloucestershire Hospitals</c:v>
                </c:pt>
                <c:pt idx="2">
                  <c:v>Plymouth, Derriford Hospital </c:v>
                </c:pt>
                <c:pt idx="3">
                  <c:v>Cwm Taf Morgannwg UHB, Princess of Wales Hospital</c:v>
                </c:pt>
                <c:pt idx="4">
                  <c:v>Swindon, Great Weston Hospital </c:v>
                </c:pt>
                <c:pt idx="5">
                  <c:v>Torquay, Torbay General District Hospital </c:v>
                </c:pt>
                <c:pt idx="6">
                  <c:v>Swansea Bay UHB, Morriston / Singleton Hospitals</c:v>
                </c:pt>
                <c:pt idx="7">
                  <c:v>Truro, Royal Cornwall Hospital </c:v>
                </c:pt>
                <c:pt idx="8">
                  <c:v>Cwm Taf Morgannwg UHB, Royal Glamorgan Hospital </c:v>
                </c:pt>
                <c:pt idx="9">
                  <c:v>Cwm Taf Morgannwg UHB, Prince Charles Hospital</c:v>
                </c:pt>
                <c:pt idx="10">
                  <c:v>Cardiff &amp; Vale UHB, Noah’s Ark / University Hospital Wales</c:v>
                </c:pt>
                <c:pt idx="11">
                  <c:v>Exeter, Royal Devon and Exeter Hospital </c:v>
                </c:pt>
                <c:pt idx="12">
                  <c:v>Hywel Dda UHB, Withybush Hospital</c:v>
                </c:pt>
                <c:pt idx="13">
                  <c:v>Aneurin Bevan UHB, Nevill Hall &amp; Royal Gwent Hospitals</c:v>
                </c:pt>
                <c:pt idx="14">
                  <c:v>Bath, Royal United Hospital </c:v>
                </c:pt>
                <c:pt idx="15">
                  <c:v>Taunton, Musgrove Park Hospital </c:v>
                </c:pt>
                <c:pt idx="16">
                  <c:v>Hywel Dda UHB, Glangwilli Hospital</c:v>
                </c:pt>
                <c:pt idx="17">
                  <c:v>Bristol, Bristol Heart Institute / Bristol Royal Hospital for Children</c:v>
                </c:pt>
              </c:strCache>
            </c:strRef>
          </c:cat>
          <c:val>
            <c:numRef>
              <c:f>'Graph data Q2'!$C$10:$C$27</c:f>
              <c:numCache>
                <c:formatCode>General</c:formatCode>
                <c:ptCount val="1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6.33</c:v>
                </c:pt>
                <c:pt idx="7">
                  <c:v>7</c:v>
                </c:pt>
                <c:pt idx="8">
                  <c:v>13</c:v>
                </c:pt>
                <c:pt idx="9">
                  <c:v>14</c:v>
                </c:pt>
                <c:pt idx="10">
                  <c:v>17</c:v>
                </c:pt>
                <c:pt idx="11">
                  <c:v>19</c:v>
                </c:pt>
                <c:pt idx="12">
                  <c:v>10</c:v>
                </c:pt>
                <c:pt idx="13">
                  <c:v>30</c:v>
                </c:pt>
                <c:pt idx="14">
                  <c:v>39</c:v>
                </c:pt>
                <c:pt idx="15">
                  <c:v>46</c:v>
                </c:pt>
                <c:pt idx="16">
                  <c:v>4</c:v>
                </c:pt>
                <c:pt idx="17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51-41D0-8523-75E336DDB3CA}"/>
            </c:ext>
          </c:extLst>
        </c:ser>
        <c:ser>
          <c:idx val="1"/>
          <c:order val="1"/>
          <c:tx>
            <c:strRef>
              <c:f>'Graph data Q2'!$D$9</c:f>
              <c:strCache>
                <c:ptCount val="1"/>
                <c:pt idx="0">
                  <c:v>Visiting Consultant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data Q2'!$B$10:$B$27</c:f>
              <c:strCache>
                <c:ptCount val="18"/>
                <c:pt idx="0">
                  <c:v>Barnstaple, North Devon District Hospital </c:v>
                </c:pt>
                <c:pt idx="1">
                  <c:v>Gloucester, Gloucestershire Hospitals</c:v>
                </c:pt>
                <c:pt idx="2">
                  <c:v>Plymouth, Derriford Hospital </c:v>
                </c:pt>
                <c:pt idx="3">
                  <c:v>Cwm Taf Morgannwg UHB, Princess of Wales Hospital</c:v>
                </c:pt>
                <c:pt idx="4">
                  <c:v>Swindon, Great Weston Hospital </c:v>
                </c:pt>
                <c:pt idx="5">
                  <c:v>Torquay, Torbay General District Hospital </c:v>
                </c:pt>
                <c:pt idx="6">
                  <c:v>Swansea Bay UHB, Morriston / Singleton Hospitals</c:v>
                </c:pt>
                <c:pt idx="7">
                  <c:v>Truro, Royal Cornwall Hospital </c:v>
                </c:pt>
                <c:pt idx="8">
                  <c:v>Cwm Taf Morgannwg UHB, Royal Glamorgan Hospital </c:v>
                </c:pt>
                <c:pt idx="9">
                  <c:v>Cwm Taf Morgannwg UHB, Prince Charles Hospital</c:v>
                </c:pt>
                <c:pt idx="10">
                  <c:v>Cardiff &amp; Vale UHB, Noah’s Ark / University Hospital Wales</c:v>
                </c:pt>
                <c:pt idx="11">
                  <c:v>Exeter, Royal Devon and Exeter Hospital </c:v>
                </c:pt>
                <c:pt idx="12">
                  <c:v>Hywel Dda UHB, Withybush Hospital</c:v>
                </c:pt>
                <c:pt idx="13">
                  <c:v>Aneurin Bevan UHB, Nevill Hall &amp; Royal Gwent Hospitals</c:v>
                </c:pt>
                <c:pt idx="14">
                  <c:v>Bath, Royal United Hospital </c:v>
                </c:pt>
                <c:pt idx="15">
                  <c:v>Taunton, Musgrove Park Hospital </c:v>
                </c:pt>
                <c:pt idx="16">
                  <c:v>Hywel Dda UHB, Glangwilli Hospital</c:v>
                </c:pt>
                <c:pt idx="17">
                  <c:v>Bristol, Bristol Heart Institute / Bristol Royal Hospital for Children</c:v>
                </c:pt>
              </c:strCache>
            </c:strRef>
          </c:cat>
          <c:val>
            <c:numRef>
              <c:f>'Graph data Q2'!$D$10:$D$27</c:f>
              <c:numCache>
                <c:formatCode>General</c:formatCode>
                <c:ptCount val="1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9.2899999999999991</c:v>
                </c:pt>
                <c:pt idx="7">
                  <c:v>10</c:v>
                </c:pt>
                <c:pt idx="8">
                  <c:v>3</c:v>
                </c:pt>
                <c:pt idx="9">
                  <c:v>14</c:v>
                </c:pt>
                <c:pt idx="10">
                  <c:v>0</c:v>
                </c:pt>
                <c:pt idx="11">
                  <c:v>15</c:v>
                </c:pt>
                <c:pt idx="12">
                  <c:v>20</c:v>
                </c:pt>
                <c:pt idx="13">
                  <c:v>12</c:v>
                </c:pt>
                <c:pt idx="14">
                  <c:v>6</c:v>
                </c:pt>
                <c:pt idx="15">
                  <c:v>46</c:v>
                </c:pt>
                <c:pt idx="16">
                  <c:v>52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51-41D0-8523-75E336DDB3C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2"/>
        <c:axId val="238821376"/>
        <c:axId val="238822912"/>
      </c:barChart>
      <c:catAx>
        <c:axId val="2388213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238822912"/>
        <c:crosses val="autoZero"/>
        <c:auto val="1"/>
        <c:lblAlgn val="ctr"/>
        <c:lblOffset val="100"/>
        <c:noMultiLvlLbl val="0"/>
      </c:catAx>
      <c:valAx>
        <c:axId val="238822912"/>
        <c:scaling>
          <c:orientation val="minMax"/>
          <c:max val="100"/>
        </c:scaling>
        <c:delete val="1"/>
        <c:axPos val="b"/>
        <c:numFmt formatCode="General" sourceLinked="1"/>
        <c:majorTickMark val="out"/>
        <c:minorTickMark val="none"/>
        <c:tickLblPos val="nextTo"/>
        <c:crossAx val="238821376"/>
        <c:crosses val="autoZero"/>
        <c:crossBetween val="between"/>
        <c:maj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638565112406124"/>
          <c:y val="0.66617737900073459"/>
          <c:w val="0.16894287886384807"/>
          <c:h val="9.1709726957324114E-2"/>
        </c:manualLayout>
      </c:layout>
      <c:overlay val="1"/>
      <c:spPr>
        <a:ln>
          <a:solidFill>
            <a:schemeClr val="bg1">
              <a:lumMod val="65000"/>
            </a:schemeClr>
          </a:solidFill>
        </a:ln>
      </c:spPr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Adults - local consultant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8363172807924782"/>
          <c:y val="8.5629762095130429E-2"/>
          <c:w val="0.72310924596405202"/>
          <c:h val="0.8130222129186681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'Graph data Q2'!$J$35</c:f>
              <c:strCache>
                <c:ptCount val="1"/>
                <c:pt idx="0">
                  <c:v>3-5 months</c:v>
                </c:pt>
              </c:strCache>
            </c:strRef>
          </c:tx>
          <c:spPr>
            <a:solidFill>
              <a:srgbClr val="7C285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data Q2'!$I$36:$I$52</c:f>
              <c:strCache>
                <c:ptCount val="17"/>
                <c:pt idx="0">
                  <c:v>Hywel Dda UHB, Glangwilli Hospital</c:v>
                </c:pt>
                <c:pt idx="1">
                  <c:v>Exeter, Royal Devon and Exeter Hospital </c:v>
                </c:pt>
                <c:pt idx="2">
                  <c:v>Swindon, Great Weston Hospital </c:v>
                </c:pt>
                <c:pt idx="3">
                  <c:v>Truro, Royal Cornwall Hospital </c:v>
                </c:pt>
                <c:pt idx="4">
                  <c:v>Aneurin Bevan UHB, Nevill Hall &amp; Royal Gwent Hospitals</c:v>
                </c:pt>
                <c:pt idx="5">
                  <c:v>Cwm Taf Morgannwg UHB, Princess of Wales Hospital</c:v>
                </c:pt>
                <c:pt idx="6">
                  <c:v>Cwm Taf Morgannwg UHB, Royal Glamorgan Hospital </c:v>
                </c:pt>
                <c:pt idx="7">
                  <c:v>Cwm Taf Morgannwg UHB, Prince Charles Hospital</c:v>
                </c:pt>
                <c:pt idx="8">
                  <c:v>Taunton, Musgrove Park Hospital </c:v>
                </c:pt>
                <c:pt idx="9">
                  <c:v>Torquay, Torbay General District Hospital </c:v>
                </c:pt>
                <c:pt idx="10">
                  <c:v>Hywel Dda UHB, Withybush Hospital</c:v>
                </c:pt>
                <c:pt idx="11">
                  <c:v>Cardiff &amp; Vale UHB, Noah’s Ark / University Hospital Wales</c:v>
                </c:pt>
                <c:pt idx="12">
                  <c:v>Barnstaple, North Devon District Hospital </c:v>
                </c:pt>
                <c:pt idx="13">
                  <c:v>Gloucester, Gloucestershire Hospitals</c:v>
                </c:pt>
                <c:pt idx="14">
                  <c:v>Swansea Bay UHB, Morriston / Singleton Hospitals</c:v>
                </c:pt>
                <c:pt idx="15">
                  <c:v>Bristol, Bristol Heart Institute / Bristol Royal Hospital for Children</c:v>
                </c:pt>
                <c:pt idx="16">
                  <c:v>Plymouth, Derriford Hospital </c:v>
                </c:pt>
              </c:strCache>
            </c:strRef>
          </c:cat>
          <c:val>
            <c:numRef>
              <c:f>'Graph data Q2'!$J$36:$J$52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3</c:v>
                </c:pt>
                <c:pt idx="12">
                  <c:v>18</c:v>
                </c:pt>
                <c:pt idx="13">
                  <c:v>8</c:v>
                </c:pt>
                <c:pt idx="14">
                  <c:v>23</c:v>
                </c:pt>
                <c:pt idx="15">
                  <c:v>334</c:v>
                </c:pt>
                <c:pt idx="16">
                  <c:v>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11-41B0-A81D-6B8DE108F443}"/>
            </c:ext>
          </c:extLst>
        </c:ser>
        <c:ser>
          <c:idx val="1"/>
          <c:order val="1"/>
          <c:tx>
            <c:strRef>
              <c:f>'Graph data Q2'!$K$35</c:f>
              <c:strCache>
                <c:ptCount val="1"/>
                <c:pt idx="0">
                  <c:v>6 -11 months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data Q2'!$I$36:$I$52</c:f>
              <c:strCache>
                <c:ptCount val="17"/>
                <c:pt idx="0">
                  <c:v>Hywel Dda UHB, Glangwilli Hospital</c:v>
                </c:pt>
                <c:pt idx="1">
                  <c:v>Exeter, Royal Devon and Exeter Hospital </c:v>
                </c:pt>
                <c:pt idx="2">
                  <c:v>Swindon, Great Weston Hospital </c:v>
                </c:pt>
                <c:pt idx="3">
                  <c:v>Truro, Royal Cornwall Hospital </c:v>
                </c:pt>
                <c:pt idx="4">
                  <c:v>Aneurin Bevan UHB, Nevill Hall &amp; Royal Gwent Hospitals</c:v>
                </c:pt>
                <c:pt idx="5">
                  <c:v>Cwm Taf Morgannwg UHB, Princess of Wales Hospital</c:v>
                </c:pt>
                <c:pt idx="6">
                  <c:v>Cwm Taf Morgannwg UHB, Royal Glamorgan Hospital </c:v>
                </c:pt>
                <c:pt idx="7">
                  <c:v>Cwm Taf Morgannwg UHB, Prince Charles Hospital</c:v>
                </c:pt>
                <c:pt idx="8">
                  <c:v>Taunton, Musgrove Park Hospital </c:v>
                </c:pt>
                <c:pt idx="9">
                  <c:v>Torquay, Torbay General District Hospital </c:v>
                </c:pt>
                <c:pt idx="10">
                  <c:v>Hywel Dda UHB, Withybush Hospital</c:v>
                </c:pt>
                <c:pt idx="11">
                  <c:v>Cardiff &amp; Vale UHB, Noah’s Ark / University Hospital Wales</c:v>
                </c:pt>
                <c:pt idx="12">
                  <c:v>Barnstaple, North Devon District Hospital </c:v>
                </c:pt>
                <c:pt idx="13">
                  <c:v>Gloucester, Gloucestershire Hospitals</c:v>
                </c:pt>
                <c:pt idx="14">
                  <c:v>Swansea Bay UHB, Morriston / Singleton Hospitals</c:v>
                </c:pt>
                <c:pt idx="15">
                  <c:v>Bristol, Bristol Heart Institute / Bristol Royal Hospital for Children</c:v>
                </c:pt>
                <c:pt idx="16">
                  <c:v>Plymouth, Derriford Hospital </c:v>
                </c:pt>
              </c:strCache>
            </c:strRef>
          </c:cat>
          <c:val>
            <c:numRef>
              <c:f>'Graph data Q2'!$K$36:$K$52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37</c:v>
                </c:pt>
                <c:pt idx="12">
                  <c:v>38</c:v>
                </c:pt>
                <c:pt idx="13">
                  <c:v>21</c:v>
                </c:pt>
                <c:pt idx="14">
                  <c:v>29</c:v>
                </c:pt>
                <c:pt idx="15">
                  <c:v>115</c:v>
                </c:pt>
                <c:pt idx="16">
                  <c:v>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11-41B0-A81D-6B8DE108F443}"/>
            </c:ext>
          </c:extLst>
        </c:ser>
        <c:ser>
          <c:idx val="2"/>
          <c:order val="2"/>
          <c:tx>
            <c:strRef>
              <c:f>'Graph data Q2'!$L$35</c:f>
              <c:strCache>
                <c:ptCount val="1"/>
                <c:pt idx="0">
                  <c:v>≥12 months</c:v>
                </c:pt>
              </c:strCache>
            </c:strRef>
          </c:tx>
          <c:spPr>
            <a:solidFill>
              <a:srgbClr val="C2307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data Q2'!$I$36:$I$52</c:f>
              <c:strCache>
                <c:ptCount val="17"/>
                <c:pt idx="0">
                  <c:v>Hywel Dda UHB, Glangwilli Hospital</c:v>
                </c:pt>
                <c:pt idx="1">
                  <c:v>Exeter, Royal Devon and Exeter Hospital </c:v>
                </c:pt>
                <c:pt idx="2">
                  <c:v>Swindon, Great Weston Hospital </c:v>
                </c:pt>
                <c:pt idx="3">
                  <c:v>Truro, Royal Cornwall Hospital </c:v>
                </c:pt>
                <c:pt idx="4">
                  <c:v>Aneurin Bevan UHB, Nevill Hall &amp; Royal Gwent Hospitals</c:v>
                </c:pt>
                <c:pt idx="5">
                  <c:v>Cwm Taf Morgannwg UHB, Princess of Wales Hospital</c:v>
                </c:pt>
                <c:pt idx="6">
                  <c:v>Cwm Taf Morgannwg UHB, Royal Glamorgan Hospital </c:v>
                </c:pt>
                <c:pt idx="7">
                  <c:v>Cwm Taf Morgannwg UHB, Prince Charles Hospital</c:v>
                </c:pt>
                <c:pt idx="8">
                  <c:v>Taunton, Musgrove Park Hospital </c:v>
                </c:pt>
                <c:pt idx="9">
                  <c:v>Torquay, Torbay General District Hospital </c:v>
                </c:pt>
                <c:pt idx="10">
                  <c:v>Hywel Dda UHB, Withybush Hospital</c:v>
                </c:pt>
                <c:pt idx="11">
                  <c:v>Cardiff &amp; Vale UHB, Noah’s Ark / University Hospital Wales</c:v>
                </c:pt>
                <c:pt idx="12">
                  <c:v>Barnstaple, North Devon District Hospital </c:v>
                </c:pt>
                <c:pt idx="13">
                  <c:v>Gloucester, Gloucestershire Hospitals</c:v>
                </c:pt>
                <c:pt idx="14">
                  <c:v>Swansea Bay UHB, Morriston / Singleton Hospitals</c:v>
                </c:pt>
                <c:pt idx="15">
                  <c:v>Bristol, Bristol Heart Institute / Bristol Royal Hospital for Children</c:v>
                </c:pt>
                <c:pt idx="16">
                  <c:v>Plymouth, Derriford Hospital </c:v>
                </c:pt>
              </c:strCache>
            </c:strRef>
          </c:cat>
          <c:val>
            <c:numRef>
              <c:f>'Graph data Q2'!$L$36:$L$52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20</c:v>
                </c:pt>
                <c:pt idx="12">
                  <c:v>8</c:v>
                </c:pt>
                <c:pt idx="13">
                  <c:v>41</c:v>
                </c:pt>
                <c:pt idx="14">
                  <c:v>55</c:v>
                </c:pt>
                <c:pt idx="15">
                  <c:v>15</c:v>
                </c:pt>
                <c:pt idx="16">
                  <c:v>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11-41B0-A81D-6B8DE108F44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238859776"/>
        <c:axId val="238861312"/>
      </c:barChart>
      <c:catAx>
        <c:axId val="23885977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38861312"/>
        <c:crosses val="autoZero"/>
        <c:auto val="1"/>
        <c:lblAlgn val="ctr"/>
        <c:lblOffset val="100"/>
        <c:noMultiLvlLbl val="0"/>
      </c:catAx>
      <c:valAx>
        <c:axId val="238861312"/>
        <c:scaling>
          <c:orientation val="minMax"/>
          <c:max val="600"/>
        </c:scaling>
        <c:delete val="0"/>
        <c:axPos val="b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minorGridlines>
          <c:spPr>
            <a:ln>
              <a:solidFill>
                <a:schemeClr val="bg1">
                  <a:lumMod val="85000"/>
                </a:schemeClr>
              </a:solidFill>
            </a:ln>
          </c:spPr>
        </c:minorGridlines>
        <c:numFmt formatCode="General" sourceLinked="1"/>
        <c:majorTickMark val="out"/>
        <c:minorTickMark val="none"/>
        <c:tickLblPos val="nextTo"/>
        <c:crossAx val="238859776"/>
        <c:crosses val="autoZero"/>
        <c:crossBetween val="between"/>
        <c:majorUnit val="50"/>
        <c:minorUnit val="25"/>
      </c:valAx>
    </c:plotArea>
    <c:legend>
      <c:legendPos val="r"/>
      <c:overlay val="1"/>
      <c:spPr>
        <a:ln>
          <a:solidFill>
            <a:schemeClr val="bg1">
              <a:lumMod val="65000"/>
            </a:schemeClr>
          </a:solidFill>
        </a:ln>
      </c:spPr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Adults -  visiting consultant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7885996628506107"/>
          <c:y val="0.10300653246618995"/>
          <c:w val="0.72679126393861659"/>
          <c:h val="0.8126302387996557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'Graph data Q2'!$J$57</c:f>
              <c:strCache>
                <c:ptCount val="1"/>
                <c:pt idx="0">
                  <c:v>3-5 months</c:v>
                </c:pt>
              </c:strCache>
            </c:strRef>
          </c:tx>
          <c:spPr>
            <a:solidFill>
              <a:srgbClr val="7C285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data Q2'!$I$58:$I$74</c:f>
              <c:strCache>
                <c:ptCount val="17"/>
                <c:pt idx="0">
                  <c:v>Hywel Dda UHB, Glangwilli Hospital</c:v>
                </c:pt>
                <c:pt idx="1">
                  <c:v>Exeter, Royal Devon and Exeter Hospital </c:v>
                </c:pt>
                <c:pt idx="2">
                  <c:v>Swindon, Great Weston Hospital </c:v>
                </c:pt>
                <c:pt idx="3">
                  <c:v>Truro, Royal Cornwall Hospital </c:v>
                </c:pt>
                <c:pt idx="4">
                  <c:v>Bristol, Bristol Heart Institute / Bristol Royal Hospital for Children</c:v>
                </c:pt>
                <c:pt idx="5">
                  <c:v>Cardiff &amp; Vale UHB, Noah’s Ark / University Hospital Wales</c:v>
                </c:pt>
                <c:pt idx="6">
                  <c:v>Cwm Taf Morgannwg UHB, Royal Glamorgan Hospital </c:v>
                </c:pt>
                <c:pt idx="7">
                  <c:v>Cwm Taf Morgannwg UHB, Prince Charles Hospital</c:v>
                </c:pt>
                <c:pt idx="8">
                  <c:v>Hywel Dda UHB, Withybush Hospital</c:v>
                </c:pt>
                <c:pt idx="9">
                  <c:v>Swansea Bay UHB, Morriston / Singleton Hospitals</c:v>
                </c:pt>
                <c:pt idx="10">
                  <c:v>Plymouth, Derriford Hospital </c:v>
                </c:pt>
                <c:pt idx="11">
                  <c:v>Taunton, Musgrove Park Hospital </c:v>
                </c:pt>
                <c:pt idx="12">
                  <c:v>Torquay, Torbay General District Hospital </c:v>
                </c:pt>
                <c:pt idx="13">
                  <c:v>Gloucester, Gloucestershire Hospitals</c:v>
                </c:pt>
                <c:pt idx="14">
                  <c:v>Barnstaple, North Devon District Hospital </c:v>
                </c:pt>
                <c:pt idx="15">
                  <c:v>Aneurin Bevan UHB, Nevill Hall &amp; Royal Gwent Hospitals</c:v>
                </c:pt>
                <c:pt idx="16">
                  <c:v>Cwm Taf Morgannwg UHB, Princess of Wales Hospital</c:v>
                </c:pt>
              </c:strCache>
            </c:strRef>
          </c:cat>
          <c:val>
            <c:numRef>
              <c:f>'Graph data Q2'!$J$58:$J$74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7</c:v>
                </c:pt>
                <c:pt idx="12">
                  <c:v>8</c:v>
                </c:pt>
                <c:pt idx="13">
                  <c:v>8</c:v>
                </c:pt>
                <c:pt idx="14">
                  <c:v>18</c:v>
                </c:pt>
                <c:pt idx="15">
                  <c:v>27</c:v>
                </c:pt>
                <c:pt idx="16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E8-4382-9194-7BC10C876DDF}"/>
            </c:ext>
          </c:extLst>
        </c:ser>
        <c:ser>
          <c:idx val="1"/>
          <c:order val="1"/>
          <c:tx>
            <c:strRef>
              <c:f>'Graph data Q2'!$K$57</c:f>
              <c:strCache>
                <c:ptCount val="1"/>
                <c:pt idx="0">
                  <c:v>6 -11 months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data Q2'!$I$58:$I$74</c:f>
              <c:strCache>
                <c:ptCount val="17"/>
                <c:pt idx="0">
                  <c:v>Hywel Dda UHB, Glangwilli Hospital</c:v>
                </c:pt>
                <c:pt idx="1">
                  <c:v>Exeter, Royal Devon and Exeter Hospital </c:v>
                </c:pt>
                <c:pt idx="2">
                  <c:v>Swindon, Great Weston Hospital </c:v>
                </c:pt>
                <c:pt idx="3">
                  <c:v>Truro, Royal Cornwall Hospital </c:v>
                </c:pt>
                <c:pt idx="4">
                  <c:v>Bristol, Bristol Heart Institute / Bristol Royal Hospital for Children</c:v>
                </c:pt>
                <c:pt idx="5">
                  <c:v>Cardiff &amp; Vale UHB, Noah’s Ark / University Hospital Wales</c:v>
                </c:pt>
                <c:pt idx="6">
                  <c:v>Cwm Taf Morgannwg UHB, Royal Glamorgan Hospital </c:v>
                </c:pt>
                <c:pt idx="7">
                  <c:v>Cwm Taf Morgannwg UHB, Prince Charles Hospital</c:v>
                </c:pt>
                <c:pt idx="8">
                  <c:v>Hywel Dda UHB, Withybush Hospital</c:v>
                </c:pt>
                <c:pt idx="9">
                  <c:v>Swansea Bay UHB, Morriston / Singleton Hospitals</c:v>
                </c:pt>
                <c:pt idx="10">
                  <c:v>Plymouth, Derriford Hospital </c:v>
                </c:pt>
                <c:pt idx="11">
                  <c:v>Taunton, Musgrove Park Hospital </c:v>
                </c:pt>
                <c:pt idx="12">
                  <c:v>Torquay, Torbay General District Hospital </c:v>
                </c:pt>
                <c:pt idx="13">
                  <c:v>Gloucester, Gloucestershire Hospitals</c:v>
                </c:pt>
                <c:pt idx="14">
                  <c:v>Barnstaple, North Devon District Hospital </c:v>
                </c:pt>
                <c:pt idx="15">
                  <c:v>Aneurin Bevan UHB, Nevill Hall &amp; Royal Gwent Hospitals</c:v>
                </c:pt>
                <c:pt idx="16">
                  <c:v>Cwm Taf Morgannwg UHB, Princess of Wales Hospital</c:v>
                </c:pt>
              </c:strCache>
            </c:strRef>
          </c:cat>
          <c:val>
            <c:numRef>
              <c:f>'Graph data Q2'!$K$58:$K$74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21</c:v>
                </c:pt>
                <c:pt idx="14">
                  <c:v>38</c:v>
                </c:pt>
                <c:pt idx="15">
                  <c:v>77</c:v>
                </c:pt>
                <c:pt idx="16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E8-4382-9194-7BC10C876DDF}"/>
            </c:ext>
          </c:extLst>
        </c:ser>
        <c:ser>
          <c:idx val="2"/>
          <c:order val="2"/>
          <c:tx>
            <c:strRef>
              <c:f>'Graph data Q2'!$L$57</c:f>
              <c:strCache>
                <c:ptCount val="1"/>
                <c:pt idx="0">
                  <c:v>≥12 months</c:v>
                </c:pt>
              </c:strCache>
            </c:strRef>
          </c:tx>
          <c:spPr>
            <a:solidFill>
              <a:srgbClr val="C2307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data Q2'!$I$58:$I$74</c:f>
              <c:strCache>
                <c:ptCount val="17"/>
                <c:pt idx="0">
                  <c:v>Hywel Dda UHB, Glangwilli Hospital</c:v>
                </c:pt>
                <c:pt idx="1">
                  <c:v>Exeter, Royal Devon and Exeter Hospital </c:v>
                </c:pt>
                <c:pt idx="2">
                  <c:v>Swindon, Great Weston Hospital </c:v>
                </c:pt>
                <c:pt idx="3">
                  <c:v>Truro, Royal Cornwall Hospital </c:v>
                </c:pt>
                <c:pt idx="4">
                  <c:v>Bristol, Bristol Heart Institute / Bristol Royal Hospital for Children</c:v>
                </c:pt>
                <c:pt idx="5">
                  <c:v>Cardiff &amp; Vale UHB, Noah’s Ark / University Hospital Wales</c:v>
                </c:pt>
                <c:pt idx="6">
                  <c:v>Cwm Taf Morgannwg UHB, Royal Glamorgan Hospital </c:v>
                </c:pt>
                <c:pt idx="7">
                  <c:v>Cwm Taf Morgannwg UHB, Prince Charles Hospital</c:v>
                </c:pt>
                <c:pt idx="8">
                  <c:v>Hywel Dda UHB, Withybush Hospital</c:v>
                </c:pt>
                <c:pt idx="9">
                  <c:v>Swansea Bay UHB, Morriston / Singleton Hospitals</c:v>
                </c:pt>
                <c:pt idx="10">
                  <c:v>Plymouth, Derriford Hospital </c:v>
                </c:pt>
                <c:pt idx="11">
                  <c:v>Taunton, Musgrove Park Hospital </c:v>
                </c:pt>
                <c:pt idx="12">
                  <c:v>Torquay, Torbay General District Hospital </c:v>
                </c:pt>
                <c:pt idx="13">
                  <c:v>Gloucester, Gloucestershire Hospitals</c:v>
                </c:pt>
                <c:pt idx="14">
                  <c:v>Barnstaple, North Devon District Hospital </c:v>
                </c:pt>
                <c:pt idx="15">
                  <c:v>Aneurin Bevan UHB, Nevill Hall &amp; Royal Gwent Hospitals</c:v>
                </c:pt>
                <c:pt idx="16">
                  <c:v>Cwm Taf Morgannwg UHB, Princess of Wales Hospital</c:v>
                </c:pt>
              </c:strCache>
            </c:strRef>
          </c:cat>
          <c:val>
            <c:numRef>
              <c:f>'Graph data Q2'!$L$58:$L$74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41</c:v>
                </c:pt>
                <c:pt idx="14">
                  <c:v>8</c:v>
                </c:pt>
                <c:pt idx="15">
                  <c:v>108</c:v>
                </c:pt>
                <c:pt idx="16">
                  <c:v>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E8-4382-9194-7BC10C876DD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238922752"/>
        <c:axId val="238924544"/>
      </c:barChart>
      <c:catAx>
        <c:axId val="23892275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38924544"/>
        <c:crosses val="autoZero"/>
        <c:auto val="1"/>
        <c:lblAlgn val="ctr"/>
        <c:lblOffset val="100"/>
        <c:noMultiLvlLbl val="0"/>
      </c:catAx>
      <c:valAx>
        <c:axId val="238924544"/>
        <c:scaling>
          <c:orientation val="minMax"/>
          <c:max val="600"/>
        </c:scaling>
        <c:delete val="0"/>
        <c:axPos val="b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minorGridlines>
          <c:spPr>
            <a:ln>
              <a:solidFill>
                <a:schemeClr val="bg1">
                  <a:lumMod val="85000"/>
                </a:schemeClr>
              </a:solidFill>
            </a:ln>
          </c:spPr>
        </c:minorGridlines>
        <c:numFmt formatCode="General" sourceLinked="1"/>
        <c:majorTickMark val="out"/>
        <c:minorTickMark val="none"/>
        <c:tickLblPos val="nextTo"/>
        <c:crossAx val="238922752"/>
        <c:crosses val="autoZero"/>
        <c:crossBetween val="between"/>
        <c:majorUnit val="50"/>
        <c:minorUnit val="25"/>
      </c:valAx>
      <c:spPr>
        <a:ln>
          <a:noFill/>
        </a:ln>
      </c:spPr>
    </c:plotArea>
    <c:legend>
      <c:legendPos val="r"/>
      <c:overlay val="1"/>
      <c:spPr>
        <a:ln>
          <a:solidFill>
            <a:schemeClr val="bg1">
              <a:lumMod val="65000"/>
            </a:schemeClr>
          </a:solidFill>
        </a:ln>
      </c:spPr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Paediatrics -  local consultant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8920097588722171"/>
          <c:y val="0.10895280812244794"/>
          <c:w val="0.78966083264304254"/>
          <c:h val="0.816866998651736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'Graph data Q2'!$C$35</c:f>
              <c:strCache>
                <c:ptCount val="1"/>
                <c:pt idx="0">
                  <c:v>3-5 months</c:v>
                </c:pt>
              </c:strCache>
            </c:strRef>
          </c:tx>
          <c:spPr>
            <a:solidFill>
              <a:srgbClr val="7C285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data Q2'!$B$36:$B$53</c:f>
              <c:strCache>
                <c:ptCount val="18"/>
                <c:pt idx="0">
                  <c:v>Barnstaple, North Devon District Hospital </c:v>
                </c:pt>
                <c:pt idx="1">
                  <c:v>Gloucester, Gloucestershire Hospitals</c:v>
                </c:pt>
                <c:pt idx="2">
                  <c:v>Plymouth, Derriford Hospital </c:v>
                </c:pt>
                <c:pt idx="3">
                  <c:v>Cwm Taf Morgannwg UHB, Princess of Wales Hospital</c:v>
                </c:pt>
                <c:pt idx="4">
                  <c:v>Cwm Taf Morgannwg UHB, Royal Glamorgan Hospital </c:v>
                </c:pt>
                <c:pt idx="5">
                  <c:v>Hywel Dda UHB, Glangwilli Hospital</c:v>
                </c:pt>
                <c:pt idx="6">
                  <c:v>Swindon, Great Weston Hospital </c:v>
                </c:pt>
                <c:pt idx="7">
                  <c:v>Truro, Royal Cornwall Hospital </c:v>
                </c:pt>
                <c:pt idx="8">
                  <c:v>Hywel Dda UHB, Withybush Hospital</c:v>
                </c:pt>
                <c:pt idx="9">
                  <c:v>Bath, Royal United Hospital </c:v>
                </c:pt>
                <c:pt idx="10">
                  <c:v>Cwm Taf Morgannwg UHB, Prince Charles Hospital</c:v>
                </c:pt>
                <c:pt idx="11">
                  <c:v>Swansea Bay UHB, Morriston / Singleton Hospitals</c:v>
                </c:pt>
                <c:pt idx="12">
                  <c:v>Taunton, Musgrove Park Hospital </c:v>
                </c:pt>
                <c:pt idx="13">
                  <c:v>Torquay, Torbay General District Hospital </c:v>
                </c:pt>
                <c:pt idx="14">
                  <c:v>Exeter, Royal Devon and Exeter Hospital </c:v>
                </c:pt>
                <c:pt idx="15">
                  <c:v>Aneurin Bevan UHB, Nevill Hall &amp; Royal Gwent Hospitals</c:v>
                </c:pt>
                <c:pt idx="16">
                  <c:v>Cardiff &amp; Vale UHB, Noah’s Ark / University Hospital Wales</c:v>
                </c:pt>
                <c:pt idx="17">
                  <c:v>Bristol, Bristol Heart Institute / Bristol Royal Hospital for Children</c:v>
                </c:pt>
              </c:strCache>
            </c:strRef>
          </c:cat>
          <c:val>
            <c:numRef>
              <c:f>'Graph data Q2'!$C$36:$C$53</c:f>
              <c:numCache>
                <c:formatCode>General</c:formatCode>
                <c:ptCount val="1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10</c:v>
                </c:pt>
                <c:pt idx="12">
                  <c:v>63</c:v>
                </c:pt>
                <c:pt idx="13">
                  <c:v>39</c:v>
                </c:pt>
                <c:pt idx="14">
                  <c:v>37</c:v>
                </c:pt>
                <c:pt idx="15">
                  <c:v>31</c:v>
                </c:pt>
                <c:pt idx="16">
                  <c:v>132</c:v>
                </c:pt>
                <c:pt idx="17">
                  <c:v>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6D-4C88-8458-D673B62A9507}"/>
            </c:ext>
          </c:extLst>
        </c:ser>
        <c:ser>
          <c:idx val="1"/>
          <c:order val="1"/>
          <c:tx>
            <c:strRef>
              <c:f>'Graph data Q2'!$D$35</c:f>
              <c:strCache>
                <c:ptCount val="1"/>
                <c:pt idx="0">
                  <c:v>6 -11 months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data Q2'!$B$36:$B$53</c:f>
              <c:strCache>
                <c:ptCount val="18"/>
                <c:pt idx="0">
                  <c:v>Barnstaple, North Devon District Hospital </c:v>
                </c:pt>
                <c:pt idx="1">
                  <c:v>Gloucester, Gloucestershire Hospitals</c:v>
                </c:pt>
                <c:pt idx="2">
                  <c:v>Plymouth, Derriford Hospital </c:v>
                </c:pt>
                <c:pt idx="3">
                  <c:v>Cwm Taf Morgannwg UHB, Princess of Wales Hospital</c:v>
                </c:pt>
                <c:pt idx="4">
                  <c:v>Cwm Taf Morgannwg UHB, Royal Glamorgan Hospital </c:v>
                </c:pt>
                <c:pt idx="5">
                  <c:v>Hywel Dda UHB, Glangwilli Hospital</c:v>
                </c:pt>
                <c:pt idx="6">
                  <c:v>Swindon, Great Weston Hospital </c:v>
                </c:pt>
                <c:pt idx="7">
                  <c:v>Truro, Royal Cornwall Hospital </c:v>
                </c:pt>
                <c:pt idx="8">
                  <c:v>Hywel Dda UHB, Withybush Hospital</c:v>
                </c:pt>
                <c:pt idx="9">
                  <c:v>Bath, Royal United Hospital </c:v>
                </c:pt>
                <c:pt idx="10">
                  <c:v>Cwm Taf Morgannwg UHB, Prince Charles Hospital</c:v>
                </c:pt>
                <c:pt idx="11">
                  <c:v>Swansea Bay UHB, Morriston / Singleton Hospitals</c:v>
                </c:pt>
                <c:pt idx="12">
                  <c:v>Taunton, Musgrove Park Hospital </c:v>
                </c:pt>
                <c:pt idx="13">
                  <c:v>Torquay, Torbay General District Hospital </c:v>
                </c:pt>
                <c:pt idx="14">
                  <c:v>Exeter, Royal Devon and Exeter Hospital </c:v>
                </c:pt>
                <c:pt idx="15">
                  <c:v>Aneurin Bevan UHB, Nevill Hall &amp; Royal Gwent Hospitals</c:v>
                </c:pt>
                <c:pt idx="16">
                  <c:v>Cardiff &amp; Vale UHB, Noah’s Ark / University Hospital Wales</c:v>
                </c:pt>
                <c:pt idx="17">
                  <c:v>Bristol, Bristol Heart Institute / Bristol Royal Hospital for Children</c:v>
                </c:pt>
              </c:strCache>
            </c:strRef>
          </c:cat>
          <c:val>
            <c:numRef>
              <c:f>'Graph data Q2'!$D$36:$D$53</c:f>
              <c:numCache>
                <c:formatCode>General</c:formatCode>
                <c:ptCount val="1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8</c:v>
                </c:pt>
                <c:pt idx="11">
                  <c:v>2</c:v>
                </c:pt>
                <c:pt idx="12">
                  <c:v>0</c:v>
                </c:pt>
                <c:pt idx="13">
                  <c:v>32</c:v>
                </c:pt>
                <c:pt idx="14">
                  <c:v>64</c:v>
                </c:pt>
                <c:pt idx="15">
                  <c:v>60</c:v>
                </c:pt>
                <c:pt idx="16">
                  <c:v>280</c:v>
                </c:pt>
                <c:pt idx="17">
                  <c:v>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6D-4C88-8458-D673B62A9507}"/>
            </c:ext>
          </c:extLst>
        </c:ser>
        <c:ser>
          <c:idx val="2"/>
          <c:order val="2"/>
          <c:tx>
            <c:strRef>
              <c:f>'Graph data Q2'!$E$35</c:f>
              <c:strCache>
                <c:ptCount val="1"/>
                <c:pt idx="0">
                  <c:v>≥12 months</c:v>
                </c:pt>
              </c:strCache>
            </c:strRef>
          </c:tx>
          <c:spPr>
            <a:solidFill>
              <a:srgbClr val="C2307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data Q2'!$B$36:$B$53</c:f>
              <c:strCache>
                <c:ptCount val="18"/>
                <c:pt idx="0">
                  <c:v>Barnstaple, North Devon District Hospital </c:v>
                </c:pt>
                <c:pt idx="1">
                  <c:v>Gloucester, Gloucestershire Hospitals</c:v>
                </c:pt>
                <c:pt idx="2">
                  <c:v>Plymouth, Derriford Hospital </c:v>
                </c:pt>
                <c:pt idx="3">
                  <c:v>Cwm Taf Morgannwg UHB, Princess of Wales Hospital</c:v>
                </c:pt>
                <c:pt idx="4">
                  <c:v>Cwm Taf Morgannwg UHB, Royal Glamorgan Hospital </c:v>
                </c:pt>
                <c:pt idx="5">
                  <c:v>Hywel Dda UHB, Glangwilli Hospital</c:v>
                </c:pt>
                <c:pt idx="6">
                  <c:v>Swindon, Great Weston Hospital </c:v>
                </c:pt>
                <c:pt idx="7">
                  <c:v>Truro, Royal Cornwall Hospital </c:v>
                </c:pt>
                <c:pt idx="8">
                  <c:v>Hywel Dda UHB, Withybush Hospital</c:v>
                </c:pt>
                <c:pt idx="9">
                  <c:v>Bath, Royal United Hospital </c:v>
                </c:pt>
                <c:pt idx="10">
                  <c:v>Cwm Taf Morgannwg UHB, Prince Charles Hospital</c:v>
                </c:pt>
                <c:pt idx="11">
                  <c:v>Swansea Bay UHB, Morriston / Singleton Hospitals</c:v>
                </c:pt>
                <c:pt idx="12">
                  <c:v>Taunton, Musgrove Park Hospital </c:v>
                </c:pt>
                <c:pt idx="13">
                  <c:v>Torquay, Torbay General District Hospital </c:v>
                </c:pt>
                <c:pt idx="14">
                  <c:v>Exeter, Royal Devon and Exeter Hospital </c:v>
                </c:pt>
                <c:pt idx="15">
                  <c:v>Aneurin Bevan UHB, Nevill Hall &amp; Royal Gwent Hospitals</c:v>
                </c:pt>
                <c:pt idx="16">
                  <c:v>Cardiff &amp; Vale UHB, Noah’s Ark / University Hospital Wales</c:v>
                </c:pt>
                <c:pt idx="17">
                  <c:v>Bristol, Bristol Heart Institute / Bristol Royal Hospital for Children</c:v>
                </c:pt>
              </c:strCache>
            </c:strRef>
          </c:cat>
          <c:val>
            <c:numRef>
              <c:f>'Graph data Q2'!$E$36:$E$53</c:f>
              <c:numCache>
                <c:formatCode>General</c:formatCode>
                <c:ptCount val="1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6</c:v>
                </c:pt>
                <c:pt idx="15">
                  <c:v>55</c:v>
                </c:pt>
                <c:pt idx="16">
                  <c:v>155</c:v>
                </c:pt>
                <c:pt idx="17">
                  <c:v>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6D-4C88-8458-D673B62A950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241607424"/>
        <c:axId val="241608960"/>
      </c:barChart>
      <c:catAx>
        <c:axId val="24160742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41608960"/>
        <c:crosses val="autoZero"/>
        <c:auto val="1"/>
        <c:lblAlgn val="ctr"/>
        <c:lblOffset val="100"/>
        <c:noMultiLvlLbl val="0"/>
      </c:catAx>
      <c:valAx>
        <c:axId val="241608960"/>
        <c:scaling>
          <c:orientation val="minMax"/>
          <c:max val="600"/>
        </c:scaling>
        <c:delete val="0"/>
        <c:axPos val="b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minorGridlines>
          <c:spPr>
            <a:ln>
              <a:solidFill>
                <a:schemeClr val="bg1">
                  <a:lumMod val="85000"/>
                </a:schemeClr>
              </a:solidFill>
            </a:ln>
          </c:spPr>
        </c:minorGridlines>
        <c:numFmt formatCode="General" sourceLinked="1"/>
        <c:majorTickMark val="out"/>
        <c:minorTickMark val="none"/>
        <c:tickLblPos val="nextTo"/>
        <c:crossAx val="241607424"/>
        <c:crosses val="autoZero"/>
        <c:crossBetween val="between"/>
        <c:majorUnit val="50"/>
        <c:minorUnit val="25"/>
      </c:valAx>
    </c:plotArea>
    <c:legend>
      <c:legendPos val="r"/>
      <c:layout>
        <c:manualLayout>
          <c:xMode val="edge"/>
          <c:yMode val="edge"/>
          <c:x val="0.91591820601652907"/>
          <c:y val="0.75285239324796982"/>
          <c:w val="5.9797889184501518E-2"/>
          <c:h val="0.15816115564685013"/>
        </c:manualLayout>
      </c:layout>
      <c:overlay val="1"/>
      <c:spPr>
        <a:solidFill>
          <a:schemeClr val="bg1"/>
        </a:solidFill>
        <a:ln>
          <a:solidFill>
            <a:schemeClr val="bg1">
              <a:lumMod val="65000"/>
            </a:schemeClr>
          </a:solidFill>
        </a:ln>
      </c:spPr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Paediatrics - Visiting consultant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094250294431211"/>
          <c:y val="0.11126584326064609"/>
          <c:w val="0.83853967243667094"/>
          <c:h val="0.7687908005499720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'Graph data Q2'!$C$57</c:f>
              <c:strCache>
                <c:ptCount val="1"/>
                <c:pt idx="0">
                  <c:v>3-5 months</c:v>
                </c:pt>
              </c:strCache>
            </c:strRef>
          </c:tx>
          <c:spPr>
            <a:solidFill>
              <a:srgbClr val="7C285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data Q2'!$B$58:$B$75</c:f>
              <c:strCache>
                <c:ptCount val="18"/>
                <c:pt idx="0">
                  <c:v>Barnstaple, North Devon District Hospital </c:v>
                </c:pt>
                <c:pt idx="1">
                  <c:v>Gloucester, Gloucestershire Hospitals</c:v>
                </c:pt>
                <c:pt idx="2">
                  <c:v>Plymouth, Derriford Hospital </c:v>
                </c:pt>
                <c:pt idx="3">
                  <c:v>Cardiff &amp; Vale UHB, Noah’s Ark / University Hospital Wales</c:v>
                </c:pt>
                <c:pt idx="4">
                  <c:v>Bath, Royal United Hospital </c:v>
                </c:pt>
                <c:pt idx="5">
                  <c:v>Bristol, Bristol Heart Institute / Bristol Royal Hospital for Children</c:v>
                </c:pt>
                <c:pt idx="6">
                  <c:v>Cwm Taf Morgannwg UHB, Prince Charles Hospital</c:v>
                </c:pt>
                <c:pt idx="7">
                  <c:v>Cwm Taf Morgannwg UHB, Royal Glamorgan Hospital </c:v>
                </c:pt>
                <c:pt idx="8">
                  <c:v>Truro, Royal Cornwall Hospital </c:v>
                </c:pt>
                <c:pt idx="9">
                  <c:v>Hywel Dda UHB, Withybush Hospital</c:v>
                </c:pt>
                <c:pt idx="10">
                  <c:v>Swindon, Great Weston Hospital </c:v>
                </c:pt>
                <c:pt idx="11">
                  <c:v>Hywel Dda UHB, Glangwilli Hospital</c:v>
                </c:pt>
                <c:pt idx="12">
                  <c:v>Taunton, Musgrove Park Hospital </c:v>
                </c:pt>
                <c:pt idx="13">
                  <c:v>Swansea Bay UHB, Morriston / Singleton Hospitals</c:v>
                </c:pt>
                <c:pt idx="14">
                  <c:v>Exeter, Royal Devon and Exeter Hospital </c:v>
                </c:pt>
                <c:pt idx="15">
                  <c:v>Torquay, Torbay General District Hospital </c:v>
                </c:pt>
                <c:pt idx="16">
                  <c:v>Cwm Taf Morgannwg UHB, Princess of Wales Hospital</c:v>
                </c:pt>
                <c:pt idx="17">
                  <c:v>Aneurin Bevan UHB, Nevill Hall &amp; Royal Gwent Hospitals</c:v>
                </c:pt>
              </c:strCache>
            </c:strRef>
          </c:cat>
          <c:val>
            <c:numRef>
              <c:f>'Graph data Q2'!$C$58:$C$75</c:f>
              <c:numCache>
                <c:formatCode>0</c:formatCode>
                <c:ptCount val="1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6</c:v>
                </c:pt>
                <c:pt idx="9">
                  <c:v>18</c:v>
                </c:pt>
                <c:pt idx="10">
                  <c:v>36</c:v>
                </c:pt>
                <c:pt idx="11">
                  <c:v>13</c:v>
                </c:pt>
                <c:pt idx="12">
                  <c:v>42</c:v>
                </c:pt>
                <c:pt idx="13">
                  <c:v>39</c:v>
                </c:pt>
                <c:pt idx="14">
                  <c:v>26</c:v>
                </c:pt>
                <c:pt idx="15">
                  <c:v>31</c:v>
                </c:pt>
                <c:pt idx="16">
                  <c:v>49</c:v>
                </c:pt>
                <c:pt idx="17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40-4477-B4E3-9142DA587D42}"/>
            </c:ext>
          </c:extLst>
        </c:ser>
        <c:ser>
          <c:idx val="1"/>
          <c:order val="1"/>
          <c:tx>
            <c:strRef>
              <c:f>'Graph data Q2'!$D$57</c:f>
              <c:strCache>
                <c:ptCount val="1"/>
                <c:pt idx="0">
                  <c:v>6 -11 months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data Q2'!$B$58:$B$75</c:f>
              <c:strCache>
                <c:ptCount val="18"/>
                <c:pt idx="0">
                  <c:v>Barnstaple, North Devon District Hospital </c:v>
                </c:pt>
                <c:pt idx="1">
                  <c:v>Gloucester, Gloucestershire Hospitals</c:v>
                </c:pt>
                <c:pt idx="2">
                  <c:v>Plymouth, Derriford Hospital </c:v>
                </c:pt>
                <c:pt idx="3">
                  <c:v>Cardiff &amp; Vale UHB, Noah’s Ark / University Hospital Wales</c:v>
                </c:pt>
                <c:pt idx="4">
                  <c:v>Bath, Royal United Hospital </c:v>
                </c:pt>
                <c:pt idx="5">
                  <c:v>Bristol, Bristol Heart Institute / Bristol Royal Hospital for Children</c:v>
                </c:pt>
                <c:pt idx="6">
                  <c:v>Cwm Taf Morgannwg UHB, Prince Charles Hospital</c:v>
                </c:pt>
                <c:pt idx="7">
                  <c:v>Cwm Taf Morgannwg UHB, Royal Glamorgan Hospital </c:v>
                </c:pt>
                <c:pt idx="8">
                  <c:v>Truro, Royal Cornwall Hospital </c:v>
                </c:pt>
                <c:pt idx="9">
                  <c:v>Hywel Dda UHB, Withybush Hospital</c:v>
                </c:pt>
                <c:pt idx="10">
                  <c:v>Swindon, Great Weston Hospital </c:v>
                </c:pt>
                <c:pt idx="11">
                  <c:v>Hywel Dda UHB, Glangwilli Hospital</c:v>
                </c:pt>
                <c:pt idx="12">
                  <c:v>Taunton, Musgrove Park Hospital </c:v>
                </c:pt>
                <c:pt idx="13">
                  <c:v>Swansea Bay UHB, Morriston / Singleton Hospitals</c:v>
                </c:pt>
                <c:pt idx="14">
                  <c:v>Exeter, Royal Devon and Exeter Hospital </c:v>
                </c:pt>
                <c:pt idx="15">
                  <c:v>Torquay, Torbay General District Hospital </c:v>
                </c:pt>
                <c:pt idx="16">
                  <c:v>Cwm Taf Morgannwg UHB, Princess of Wales Hospital</c:v>
                </c:pt>
                <c:pt idx="17">
                  <c:v>Aneurin Bevan UHB, Nevill Hall &amp; Royal Gwent Hospitals</c:v>
                </c:pt>
              </c:strCache>
            </c:strRef>
          </c:cat>
          <c:val>
            <c:numRef>
              <c:f>'Graph data Q2'!$D$58:$D$75</c:f>
              <c:numCache>
                <c:formatCode>0</c:formatCode>
                <c:ptCount val="1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</c:v>
                </c:pt>
                <c:pt idx="7">
                  <c:v>3</c:v>
                </c:pt>
                <c:pt idx="8">
                  <c:v>5</c:v>
                </c:pt>
                <c:pt idx="9">
                  <c:v>6</c:v>
                </c:pt>
                <c:pt idx="10">
                  <c:v>0</c:v>
                </c:pt>
                <c:pt idx="11">
                  <c:v>30</c:v>
                </c:pt>
                <c:pt idx="12">
                  <c:v>3</c:v>
                </c:pt>
                <c:pt idx="13">
                  <c:v>48</c:v>
                </c:pt>
                <c:pt idx="14">
                  <c:v>48</c:v>
                </c:pt>
                <c:pt idx="15">
                  <c:v>53</c:v>
                </c:pt>
                <c:pt idx="16">
                  <c:v>111</c:v>
                </c:pt>
                <c:pt idx="17">
                  <c:v>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40-4477-B4E3-9142DA587D42}"/>
            </c:ext>
          </c:extLst>
        </c:ser>
        <c:ser>
          <c:idx val="2"/>
          <c:order val="2"/>
          <c:tx>
            <c:strRef>
              <c:f>'Graph data Q2'!$E$57</c:f>
              <c:strCache>
                <c:ptCount val="1"/>
                <c:pt idx="0">
                  <c:v>≥12 months</c:v>
                </c:pt>
              </c:strCache>
            </c:strRef>
          </c:tx>
          <c:spPr>
            <a:solidFill>
              <a:srgbClr val="C2307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data Q2'!$B$58:$B$75</c:f>
              <c:strCache>
                <c:ptCount val="18"/>
                <c:pt idx="0">
                  <c:v>Barnstaple, North Devon District Hospital </c:v>
                </c:pt>
                <c:pt idx="1">
                  <c:v>Gloucester, Gloucestershire Hospitals</c:v>
                </c:pt>
                <c:pt idx="2">
                  <c:v>Plymouth, Derriford Hospital </c:v>
                </c:pt>
                <c:pt idx="3">
                  <c:v>Cardiff &amp; Vale UHB, Noah’s Ark / University Hospital Wales</c:v>
                </c:pt>
                <c:pt idx="4">
                  <c:v>Bath, Royal United Hospital </c:v>
                </c:pt>
                <c:pt idx="5">
                  <c:v>Bristol, Bristol Heart Institute / Bristol Royal Hospital for Children</c:v>
                </c:pt>
                <c:pt idx="6">
                  <c:v>Cwm Taf Morgannwg UHB, Prince Charles Hospital</c:v>
                </c:pt>
                <c:pt idx="7">
                  <c:v>Cwm Taf Morgannwg UHB, Royal Glamorgan Hospital </c:v>
                </c:pt>
                <c:pt idx="8">
                  <c:v>Truro, Royal Cornwall Hospital </c:v>
                </c:pt>
                <c:pt idx="9">
                  <c:v>Hywel Dda UHB, Withybush Hospital</c:v>
                </c:pt>
                <c:pt idx="10">
                  <c:v>Swindon, Great Weston Hospital </c:v>
                </c:pt>
                <c:pt idx="11">
                  <c:v>Hywel Dda UHB, Glangwilli Hospital</c:v>
                </c:pt>
                <c:pt idx="12">
                  <c:v>Taunton, Musgrove Park Hospital </c:v>
                </c:pt>
                <c:pt idx="13">
                  <c:v>Swansea Bay UHB, Morriston / Singleton Hospitals</c:v>
                </c:pt>
                <c:pt idx="14">
                  <c:v>Exeter, Royal Devon and Exeter Hospital </c:v>
                </c:pt>
                <c:pt idx="15">
                  <c:v>Torquay, Torbay General District Hospital </c:v>
                </c:pt>
                <c:pt idx="16">
                  <c:v>Cwm Taf Morgannwg UHB, Princess of Wales Hospital</c:v>
                </c:pt>
                <c:pt idx="17">
                  <c:v>Aneurin Bevan UHB, Nevill Hall &amp; Royal Gwent Hospitals</c:v>
                </c:pt>
              </c:strCache>
            </c:strRef>
          </c:cat>
          <c:val>
            <c:numRef>
              <c:f>'Graph data Q2'!$E$58:$E$75</c:f>
              <c:numCache>
                <c:formatCode>0</c:formatCode>
                <c:ptCount val="1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18</c:v>
                </c:pt>
                <c:pt idx="15">
                  <c:v>42</c:v>
                </c:pt>
                <c:pt idx="16">
                  <c:v>28</c:v>
                </c:pt>
                <c:pt idx="17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40-4477-B4E3-9142DA587D4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241674496"/>
        <c:axId val="241688576"/>
      </c:barChart>
      <c:catAx>
        <c:axId val="24167449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41688576"/>
        <c:crosses val="autoZero"/>
        <c:auto val="1"/>
        <c:lblAlgn val="ctr"/>
        <c:lblOffset val="100"/>
        <c:noMultiLvlLbl val="0"/>
      </c:catAx>
      <c:valAx>
        <c:axId val="241688576"/>
        <c:scaling>
          <c:orientation val="minMax"/>
          <c:max val="600"/>
        </c:scaling>
        <c:delete val="0"/>
        <c:axPos val="b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minorGridlines>
          <c:spPr>
            <a:ln>
              <a:solidFill>
                <a:schemeClr val="bg1">
                  <a:lumMod val="85000"/>
                </a:schemeClr>
              </a:solidFill>
            </a:ln>
          </c:spPr>
        </c:minorGridlines>
        <c:numFmt formatCode="0" sourceLinked="1"/>
        <c:majorTickMark val="out"/>
        <c:minorTickMark val="none"/>
        <c:tickLblPos val="nextTo"/>
        <c:crossAx val="241674496"/>
        <c:crosses val="autoZero"/>
        <c:crossBetween val="between"/>
        <c:majorUnit val="50"/>
        <c:minorUnit val="25"/>
      </c:valAx>
    </c:plotArea>
    <c:legend>
      <c:legendPos val="r"/>
      <c:layout>
        <c:manualLayout>
          <c:xMode val="edge"/>
          <c:yMode val="edge"/>
          <c:x val="0.92479212729892035"/>
          <c:y val="0.70803212978659347"/>
          <c:w val="6.0614386684813587E-2"/>
          <c:h val="0.15529713715363044"/>
        </c:manualLayout>
      </c:layout>
      <c:overlay val="1"/>
      <c:spPr>
        <a:solidFill>
          <a:schemeClr val="bg1"/>
        </a:solidFill>
        <a:ln>
          <a:solidFill>
            <a:schemeClr val="bg1">
              <a:lumMod val="65000"/>
            </a:schemeClr>
          </a:solidFill>
        </a:ln>
      </c:spPr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Paediatrics</a:t>
            </a:r>
            <a:r>
              <a:rPr lang="en-US" baseline="0"/>
              <a:t> DNA rate (%) - </a:t>
            </a:r>
            <a:r>
              <a:rPr lang="en-US"/>
              <a:t>Local consultant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46873633209970839"/>
          <c:y val="0.12550246139575619"/>
          <c:w val="0.5087110185572421"/>
          <c:h val="0.7995948290677772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'Graph data Q2'!$C$80</c:f>
              <c:strCache>
                <c:ptCount val="1"/>
                <c:pt idx="0">
                  <c:v>Local consultant</c:v>
                </c:pt>
              </c:strCache>
            </c:strRef>
          </c:tx>
          <c:spPr>
            <a:solidFill>
              <a:srgbClr val="C2307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data Q2'!$B$81:$B$98</c:f>
              <c:strCache>
                <c:ptCount val="18"/>
                <c:pt idx="0">
                  <c:v>Barnstaple, North Devon District Hospital </c:v>
                </c:pt>
                <c:pt idx="1">
                  <c:v>Gloucester, Gloucestershire Hospitals</c:v>
                </c:pt>
                <c:pt idx="2">
                  <c:v>Plymouth, Derriford Hospital </c:v>
                </c:pt>
                <c:pt idx="3">
                  <c:v>Hywel Dda UHB, Glangwilli Hospital</c:v>
                </c:pt>
                <c:pt idx="4">
                  <c:v>Hywel Dda UHB, Withybush Hospital</c:v>
                </c:pt>
                <c:pt idx="5">
                  <c:v>Swindon, Great Weston Hospital </c:v>
                </c:pt>
                <c:pt idx="6">
                  <c:v>Torquay, Torbay General District Hospital </c:v>
                </c:pt>
                <c:pt idx="7">
                  <c:v>Bath, Royal United Hospital </c:v>
                </c:pt>
                <c:pt idx="8">
                  <c:v>Swansea Bay UHB, Morriston / Singleton Hospitals</c:v>
                </c:pt>
                <c:pt idx="9">
                  <c:v>Cardiff &amp; Vale UHB, Noah’s Ark / University Hospital Wales</c:v>
                </c:pt>
                <c:pt idx="10">
                  <c:v>Exeter, Royal Devon and Exeter Hospital </c:v>
                </c:pt>
                <c:pt idx="11">
                  <c:v>Taunton, Musgrove Park Hospital </c:v>
                </c:pt>
                <c:pt idx="12">
                  <c:v>Bristol, Bristol Heart Institute / Bristol Royal Hospital for Children</c:v>
                </c:pt>
                <c:pt idx="13">
                  <c:v>Truro, Royal Cornwall Hospital </c:v>
                </c:pt>
                <c:pt idx="14">
                  <c:v>Cwm Taf Morgannwg UHB, Princess of Wales Hospital</c:v>
                </c:pt>
                <c:pt idx="15">
                  <c:v>Aneurin Bevan UHB, Nevill Hall &amp; Royal Gwent Hospitals</c:v>
                </c:pt>
                <c:pt idx="16">
                  <c:v>Cwm Taf Morgannwg UHB, Prince Charles Hospital</c:v>
                </c:pt>
                <c:pt idx="17">
                  <c:v>Cwm Taf Morgannwg UHB, Royal Glamorgan Hospital </c:v>
                </c:pt>
              </c:strCache>
            </c:strRef>
          </c:cat>
          <c:val>
            <c:numRef>
              <c:f>'Graph data Q2'!$C$81:$C$98</c:f>
              <c:numCache>
                <c:formatCode>0%</c:formatCode>
                <c:ptCount val="1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0.05</c:v>
                </c:pt>
                <c:pt idx="8">
                  <c:v>0.06</c:v>
                </c:pt>
                <c:pt idx="9">
                  <c:v>7.0000000000000007E-2</c:v>
                </c:pt>
                <c:pt idx="10">
                  <c:v>0.08</c:v>
                </c:pt>
                <c:pt idx="11">
                  <c:v>0.08</c:v>
                </c:pt>
                <c:pt idx="12">
                  <c:v>0.09</c:v>
                </c:pt>
                <c:pt idx="13">
                  <c:v>0.1</c:v>
                </c:pt>
                <c:pt idx="14">
                  <c:v>0.12</c:v>
                </c:pt>
                <c:pt idx="15">
                  <c:v>0.13</c:v>
                </c:pt>
                <c:pt idx="16">
                  <c:v>0.21</c:v>
                </c:pt>
                <c:pt idx="17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FB-40B3-8D30-E30B4D845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41787648"/>
        <c:axId val="241789184"/>
      </c:barChart>
      <c:catAx>
        <c:axId val="24178764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41789184"/>
        <c:crosses val="autoZero"/>
        <c:auto val="1"/>
        <c:lblAlgn val="ctr"/>
        <c:lblOffset val="100"/>
        <c:noMultiLvlLbl val="0"/>
      </c:catAx>
      <c:valAx>
        <c:axId val="241789184"/>
        <c:scaling>
          <c:orientation val="minMax"/>
          <c:max val="0.35000000000000003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crossAx val="2417876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Paediatrics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43185265910025467"/>
          <c:y val="9.9829421073910379E-2"/>
          <c:w val="0.5536216283431713"/>
          <c:h val="0.8326725916230113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'Graph data Q1'!$C$9</c:f>
              <c:strCache>
                <c:ptCount val="1"/>
                <c:pt idx="0">
                  <c:v>Local Consultant</c:v>
                </c:pt>
              </c:strCache>
            </c:strRef>
          </c:tx>
          <c:spPr>
            <a:solidFill>
              <a:srgbClr val="C2307C"/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51-41D0-8523-75E336DDB3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data Q1'!$B$10:$B$27</c:f>
              <c:strCache>
                <c:ptCount val="18"/>
                <c:pt idx="0">
                  <c:v>Hywel Dda UHB, Glangwilli Hospital</c:v>
                </c:pt>
                <c:pt idx="1">
                  <c:v>Barnstaple, North Devon District Hospital </c:v>
                </c:pt>
                <c:pt idx="2">
                  <c:v>Plymouth, Derriford Hospital </c:v>
                </c:pt>
                <c:pt idx="3">
                  <c:v>Truro, Royal Cornwall Hospital </c:v>
                </c:pt>
                <c:pt idx="4">
                  <c:v>Cwm Taf Morgannwg UHB, Princess of Wales Hospital</c:v>
                </c:pt>
                <c:pt idx="5">
                  <c:v>Swindon, Great Weston Hospital </c:v>
                </c:pt>
                <c:pt idx="6">
                  <c:v>Torquay, Torbay General District Hospital </c:v>
                </c:pt>
                <c:pt idx="7">
                  <c:v>Gloucester, Gloucestershire Hospitals</c:v>
                </c:pt>
                <c:pt idx="8">
                  <c:v>Aneurin Bevan UHB, Nevill Hall &amp; Royal Gwent Hospitals</c:v>
                </c:pt>
                <c:pt idx="9">
                  <c:v>Cardiff &amp; Vale UHB, Noah’s Ark / University Hospital Wales</c:v>
                </c:pt>
                <c:pt idx="10">
                  <c:v>Cwm Taf Morgannwg UHB, Royal Glamorgan Hospital </c:v>
                </c:pt>
                <c:pt idx="11">
                  <c:v>Hywel Dda UHB, Withybush Hospital</c:v>
                </c:pt>
                <c:pt idx="12">
                  <c:v>Exeter, Royal Devon and Exeter Hospital </c:v>
                </c:pt>
                <c:pt idx="13">
                  <c:v>Cwm Taf Morgannwg UHB, Prince Charles Hospital</c:v>
                </c:pt>
                <c:pt idx="14">
                  <c:v>Swansea Bay UHB, Morriston / Singleton Hospitals</c:v>
                </c:pt>
                <c:pt idx="15">
                  <c:v>Bath, Royal United Hospital </c:v>
                </c:pt>
                <c:pt idx="16">
                  <c:v>Taunton, Musgrove Park Hospital </c:v>
                </c:pt>
                <c:pt idx="17">
                  <c:v>Bristol, Bristol Heart Institute / Bristol Royal Hospital for Children</c:v>
                </c:pt>
              </c:strCache>
            </c:strRef>
          </c:cat>
          <c:val>
            <c:numRef>
              <c:f>'Graph data Q1'!$C$10:$C$27</c:f>
              <c:numCache>
                <c:formatCode>General</c:formatCode>
                <c:ptCount val="1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0</c:v>
                </c:pt>
                <c:pt idx="6">
                  <c:v>4</c:v>
                </c:pt>
                <c:pt idx="7">
                  <c:v>10.9</c:v>
                </c:pt>
                <c:pt idx="8">
                  <c:v>12</c:v>
                </c:pt>
                <c:pt idx="9">
                  <c:v>14</c:v>
                </c:pt>
                <c:pt idx="10">
                  <c:v>15</c:v>
                </c:pt>
                <c:pt idx="11">
                  <c:v>11</c:v>
                </c:pt>
                <c:pt idx="12">
                  <c:v>15</c:v>
                </c:pt>
                <c:pt idx="13">
                  <c:v>16</c:v>
                </c:pt>
                <c:pt idx="14">
                  <c:v>8.48</c:v>
                </c:pt>
                <c:pt idx="15">
                  <c:v>28</c:v>
                </c:pt>
                <c:pt idx="16">
                  <c:v>44</c:v>
                </c:pt>
                <c:pt idx="17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51-41D0-8523-75E336DDB3CA}"/>
            </c:ext>
          </c:extLst>
        </c:ser>
        <c:ser>
          <c:idx val="1"/>
          <c:order val="1"/>
          <c:tx>
            <c:strRef>
              <c:f>'Graph data Q1'!$D$9</c:f>
              <c:strCache>
                <c:ptCount val="1"/>
                <c:pt idx="0">
                  <c:v>Visiting Consultant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data Q1'!$B$10:$B$27</c:f>
              <c:strCache>
                <c:ptCount val="18"/>
                <c:pt idx="0">
                  <c:v>Hywel Dda UHB, Glangwilli Hospital</c:v>
                </c:pt>
                <c:pt idx="1">
                  <c:v>Barnstaple, North Devon District Hospital </c:v>
                </c:pt>
                <c:pt idx="2">
                  <c:v>Plymouth, Derriford Hospital </c:v>
                </c:pt>
                <c:pt idx="3">
                  <c:v>Truro, Royal Cornwall Hospital </c:v>
                </c:pt>
                <c:pt idx="4">
                  <c:v>Cwm Taf Morgannwg UHB, Princess of Wales Hospital</c:v>
                </c:pt>
                <c:pt idx="5">
                  <c:v>Swindon, Great Weston Hospital </c:v>
                </c:pt>
                <c:pt idx="6">
                  <c:v>Torquay, Torbay General District Hospital </c:v>
                </c:pt>
                <c:pt idx="7">
                  <c:v>Gloucester, Gloucestershire Hospitals</c:v>
                </c:pt>
                <c:pt idx="8">
                  <c:v>Aneurin Bevan UHB, Nevill Hall &amp; Royal Gwent Hospitals</c:v>
                </c:pt>
                <c:pt idx="9">
                  <c:v>Cardiff &amp; Vale UHB, Noah’s Ark / University Hospital Wales</c:v>
                </c:pt>
                <c:pt idx="10">
                  <c:v>Cwm Taf Morgannwg UHB, Royal Glamorgan Hospital </c:v>
                </c:pt>
                <c:pt idx="11">
                  <c:v>Hywel Dda UHB, Withybush Hospital</c:v>
                </c:pt>
                <c:pt idx="12">
                  <c:v>Exeter, Royal Devon and Exeter Hospital </c:v>
                </c:pt>
                <c:pt idx="13">
                  <c:v>Cwm Taf Morgannwg UHB, Prince Charles Hospital</c:v>
                </c:pt>
                <c:pt idx="14">
                  <c:v>Swansea Bay UHB, Morriston / Singleton Hospitals</c:v>
                </c:pt>
                <c:pt idx="15">
                  <c:v>Bath, Royal United Hospital </c:v>
                </c:pt>
                <c:pt idx="16">
                  <c:v>Taunton, Musgrove Park Hospital </c:v>
                </c:pt>
                <c:pt idx="17">
                  <c:v>Bristol, Bristol Heart Institute / Bristol Royal Hospital for Children</c:v>
                </c:pt>
              </c:strCache>
            </c:strRef>
          </c:cat>
          <c:val>
            <c:numRef>
              <c:f>'Graph data Q1'!$D$10:$D$27</c:f>
              <c:numCache>
                <c:formatCode>General</c:formatCode>
                <c:ptCount val="1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0</c:v>
                </c:pt>
                <c:pt idx="6">
                  <c:v>4</c:v>
                </c:pt>
                <c:pt idx="7">
                  <c:v>5.4</c:v>
                </c:pt>
                <c:pt idx="8">
                  <c:v>13</c:v>
                </c:pt>
                <c:pt idx="9">
                  <c:v>0</c:v>
                </c:pt>
                <c:pt idx="10">
                  <c:v>0</c:v>
                </c:pt>
                <c:pt idx="11">
                  <c:v>15</c:v>
                </c:pt>
                <c:pt idx="12">
                  <c:v>8</c:v>
                </c:pt>
                <c:pt idx="13">
                  <c:v>15</c:v>
                </c:pt>
                <c:pt idx="14">
                  <c:v>26.67</c:v>
                </c:pt>
                <c:pt idx="15">
                  <c:v>8</c:v>
                </c:pt>
                <c:pt idx="16">
                  <c:v>44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51-41D0-8523-75E336DDB3C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2"/>
        <c:axId val="237930752"/>
        <c:axId val="237944832"/>
      </c:barChart>
      <c:catAx>
        <c:axId val="2379307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237944832"/>
        <c:crosses val="autoZero"/>
        <c:auto val="1"/>
        <c:lblAlgn val="ctr"/>
        <c:lblOffset val="100"/>
        <c:noMultiLvlLbl val="0"/>
      </c:catAx>
      <c:valAx>
        <c:axId val="237944832"/>
        <c:scaling>
          <c:orientation val="minMax"/>
          <c:max val="100"/>
        </c:scaling>
        <c:delete val="1"/>
        <c:axPos val="b"/>
        <c:numFmt formatCode="General" sourceLinked="1"/>
        <c:majorTickMark val="out"/>
        <c:minorTickMark val="none"/>
        <c:tickLblPos val="nextTo"/>
        <c:crossAx val="237930752"/>
        <c:crosses val="autoZero"/>
        <c:crossBetween val="between"/>
        <c:maj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638565112406124"/>
          <c:y val="0.66617737900073459"/>
          <c:w val="0.16894287886384807"/>
          <c:h val="9.1709726957324114E-2"/>
        </c:manualLayout>
      </c:layout>
      <c:overlay val="1"/>
      <c:spPr>
        <a:ln>
          <a:solidFill>
            <a:schemeClr val="bg1">
              <a:lumMod val="65000"/>
            </a:schemeClr>
          </a:solidFill>
        </a:ln>
      </c:spPr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Paediatrics</a:t>
            </a:r>
            <a:r>
              <a:rPr lang="en-US" baseline="0"/>
              <a:t> DNA rate (%) - </a:t>
            </a:r>
            <a:r>
              <a:rPr lang="en-US"/>
              <a:t>Visiting consultant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47370525995635721"/>
          <c:y val="0.11708518652741629"/>
          <c:w val="0.49957174499522033"/>
          <c:h val="0.8130357240909740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'Graph data Q2'!$G$80</c:f>
              <c:strCache>
                <c:ptCount val="1"/>
                <c:pt idx="0">
                  <c:v>Visiting consultant</c:v>
                </c:pt>
              </c:strCache>
            </c:strRef>
          </c:tx>
          <c:spPr>
            <a:solidFill>
              <a:srgbClr val="C2307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data Q2'!$F$81:$F$98</c:f>
              <c:strCache>
                <c:ptCount val="18"/>
                <c:pt idx="0">
                  <c:v>Barnstaple, North Devon District Hospital </c:v>
                </c:pt>
                <c:pt idx="1">
                  <c:v>Gloucester, Gloucestershire Hospitals</c:v>
                </c:pt>
                <c:pt idx="2">
                  <c:v>Plymouth, Derriford Hospital </c:v>
                </c:pt>
                <c:pt idx="3">
                  <c:v>Cardiff &amp; Vale UHB, Noah’s Ark / University Hospital Wales</c:v>
                </c:pt>
                <c:pt idx="4">
                  <c:v>Hywel Dda UHB, Glangwilli Hospital</c:v>
                </c:pt>
                <c:pt idx="5">
                  <c:v>Hywel Dda UHB, Withybush Hospital</c:v>
                </c:pt>
                <c:pt idx="6">
                  <c:v>Swansea Bay UHB, Morriston / Singleton Hospitals</c:v>
                </c:pt>
                <c:pt idx="7">
                  <c:v>Bristol, Bristol Heart Institute / Bristol Royal Hospital for Children</c:v>
                </c:pt>
                <c:pt idx="8">
                  <c:v>Swindon, Great Weston Hospital </c:v>
                </c:pt>
                <c:pt idx="9">
                  <c:v>Torquay, Torbay General District Hospital </c:v>
                </c:pt>
                <c:pt idx="10">
                  <c:v>Cwm Taf Morgannwg UHB, Princess of Wales Hospital</c:v>
                </c:pt>
                <c:pt idx="11">
                  <c:v>Bath, Royal United Hospital </c:v>
                </c:pt>
                <c:pt idx="12">
                  <c:v>Exeter, Royal Devon and Exeter Hospital </c:v>
                </c:pt>
                <c:pt idx="13">
                  <c:v>Taunton, Musgrove Park Hospital </c:v>
                </c:pt>
                <c:pt idx="14">
                  <c:v>Truro, Royal Cornwall Hospital </c:v>
                </c:pt>
                <c:pt idx="15">
                  <c:v>Aneurin Bevan UHB, Nevill Hall &amp; Royal Gwent Hospitals</c:v>
                </c:pt>
                <c:pt idx="16">
                  <c:v>Cwm Taf Morgannwg UHB, Prince Charles Hospital</c:v>
                </c:pt>
                <c:pt idx="17">
                  <c:v>Cwm Taf Morgannwg UHB, Royal Glamorgan Hospital </c:v>
                </c:pt>
              </c:strCache>
            </c:strRef>
          </c:cat>
          <c:val>
            <c:numRef>
              <c:f>'Graph data Q2'!$G$81:$G$98</c:f>
              <c:numCache>
                <c:formatCode>0%</c:formatCode>
                <c:ptCount val="1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0.05</c:v>
                </c:pt>
                <c:pt idx="11">
                  <c:v>0.05</c:v>
                </c:pt>
                <c:pt idx="12">
                  <c:v>0.05</c:v>
                </c:pt>
                <c:pt idx="13">
                  <c:v>7.0000000000000007E-2</c:v>
                </c:pt>
                <c:pt idx="14">
                  <c:v>7.0000000000000007E-2</c:v>
                </c:pt>
                <c:pt idx="15">
                  <c:v>0.08</c:v>
                </c:pt>
                <c:pt idx="16">
                  <c:v>0.23</c:v>
                </c:pt>
                <c:pt idx="17">
                  <c:v>0.37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D1-4294-A367-10A6E86DD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42096768"/>
        <c:axId val="242110848"/>
      </c:barChart>
      <c:catAx>
        <c:axId val="24209676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42110848"/>
        <c:crosses val="autoZero"/>
        <c:auto val="1"/>
        <c:lblAlgn val="ctr"/>
        <c:lblOffset val="100"/>
        <c:noMultiLvlLbl val="0"/>
      </c:catAx>
      <c:valAx>
        <c:axId val="242110848"/>
        <c:scaling>
          <c:orientation val="minMax"/>
          <c:max val="0.35000000000000003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crossAx val="242096768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Adults</a:t>
            </a:r>
            <a:r>
              <a:rPr lang="en-US" baseline="0"/>
              <a:t> DNA rate (%) -  </a:t>
            </a:r>
            <a:r>
              <a:rPr lang="en-US"/>
              <a:t>Local consultant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44830231038735946"/>
          <c:y val="0.11684074981232774"/>
          <c:w val="0.48900067040474188"/>
          <c:h val="0.7863257183010652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'Graph data Q2'!$K$80</c:f>
              <c:strCache>
                <c:ptCount val="1"/>
                <c:pt idx="0">
                  <c:v>Local consultant</c:v>
                </c:pt>
              </c:strCache>
            </c:strRef>
          </c:tx>
          <c:spPr>
            <a:solidFill>
              <a:srgbClr val="7C285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data Q2'!$J$81:$J$97</c:f>
              <c:strCache>
                <c:ptCount val="17"/>
                <c:pt idx="0">
                  <c:v>Hywel Dda UHB, Glangwilli Hospital</c:v>
                </c:pt>
                <c:pt idx="1">
                  <c:v>Exeter, Royal Devon and Exeter Hospital </c:v>
                </c:pt>
                <c:pt idx="2">
                  <c:v>Swindon, Great Weston Hospital </c:v>
                </c:pt>
                <c:pt idx="3">
                  <c:v>Truro, Royal Cornwall Hospital </c:v>
                </c:pt>
                <c:pt idx="4">
                  <c:v>Aneurin Bevan UHB, Nevill Hall &amp; Royal Gwent Hospitals</c:v>
                </c:pt>
                <c:pt idx="5">
                  <c:v>Cwm Taf Morgannwg UHB, Princess of Wales Hospital</c:v>
                </c:pt>
                <c:pt idx="6">
                  <c:v>Cwm Taf Morgannwg UHB, Prince Charles Hospital</c:v>
                </c:pt>
                <c:pt idx="7">
                  <c:v>Hywel Dda UHB, Withybush Hospital</c:v>
                </c:pt>
                <c:pt idx="8">
                  <c:v>Swansea Bay UHB, Morriston / Singleton Hospitals</c:v>
                </c:pt>
                <c:pt idx="9">
                  <c:v>Barnstaple, North Devon District Hospital </c:v>
                </c:pt>
                <c:pt idx="10">
                  <c:v>Gloucester, Gloucestershire Hospitals</c:v>
                </c:pt>
                <c:pt idx="11">
                  <c:v>Taunton, Musgrove Park Hospital </c:v>
                </c:pt>
                <c:pt idx="12">
                  <c:v>Plymouth, Derriford Hospital </c:v>
                </c:pt>
                <c:pt idx="13">
                  <c:v>Torquay, Torbay General District Hospital </c:v>
                </c:pt>
                <c:pt idx="14">
                  <c:v>Cwm Taf Morgannwg UHB, Royal Glamorgan Hospital </c:v>
                </c:pt>
                <c:pt idx="15">
                  <c:v>Cardiff &amp; Vale UHB, Noah’s Ark / University Hospital Wales</c:v>
                </c:pt>
                <c:pt idx="16">
                  <c:v>Bristol, Bristol Heart Institute / Bristol Royal Hospital for Children</c:v>
                </c:pt>
              </c:strCache>
            </c:strRef>
          </c:cat>
          <c:val>
            <c:numRef>
              <c:f>'Graph data Q2'!$K$81:$K$97</c:f>
              <c:numCache>
                <c:formatCode>0%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0.04</c:v>
                </c:pt>
                <c:pt idx="13">
                  <c:v>0.04</c:v>
                </c:pt>
                <c:pt idx="14">
                  <c:v>0.13</c:v>
                </c:pt>
                <c:pt idx="15">
                  <c:v>0.15</c:v>
                </c:pt>
                <c:pt idx="16">
                  <c:v>0.23100000000000001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3D-4BB3-BFA1-B51EB74D7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42139520"/>
        <c:axId val="242141056"/>
      </c:barChart>
      <c:catAx>
        <c:axId val="24213952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42141056"/>
        <c:crosses val="autoZero"/>
        <c:auto val="1"/>
        <c:lblAlgn val="ctr"/>
        <c:lblOffset val="100"/>
        <c:noMultiLvlLbl val="0"/>
      </c:catAx>
      <c:valAx>
        <c:axId val="242141056"/>
        <c:scaling>
          <c:orientation val="minMax"/>
          <c:max val="0.35000000000000003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crossAx val="242139520"/>
        <c:crosses val="autoZero"/>
        <c:crossBetween val="between"/>
        <c:majorUnit val="5.000000000000001E-2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Adult</a:t>
            </a:r>
            <a:r>
              <a:rPr lang="en-US" baseline="0"/>
              <a:t> DNA rate (%) -  </a:t>
            </a:r>
            <a:r>
              <a:rPr lang="en-US"/>
              <a:t>Visiting consultant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4387732523940443"/>
          <c:y val="0.11659730608107916"/>
          <c:w val="0.47367759417312688"/>
          <c:h val="0.8138147826301874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'Graph data Q2'!$O$80</c:f>
              <c:strCache>
                <c:ptCount val="1"/>
                <c:pt idx="0">
                  <c:v>Visiting consultant</c:v>
                </c:pt>
              </c:strCache>
            </c:strRef>
          </c:tx>
          <c:spPr>
            <a:solidFill>
              <a:srgbClr val="7C285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data Q2'!$N$81:$N$97</c:f>
              <c:strCache>
                <c:ptCount val="17"/>
                <c:pt idx="0">
                  <c:v>Hywel Dda UHB, Glangwilli Hospital</c:v>
                </c:pt>
                <c:pt idx="1">
                  <c:v>Exeter, Royal Devon and Exeter Hospital </c:v>
                </c:pt>
                <c:pt idx="2">
                  <c:v>Swindon, Great Weston Hospital </c:v>
                </c:pt>
                <c:pt idx="3">
                  <c:v>Truro, Royal Cornwall Hospital </c:v>
                </c:pt>
                <c:pt idx="4">
                  <c:v>Bristol, Bristol Heart Institute / Bristol Royal Hospital for Children</c:v>
                </c:pt>
                <c:pt idx="5">
                  <c:v>Aneurin Bevan UHB, Nevill Hall &amp; Royal Gwent Hospitals</c:v>
                </c:pt>
                <c:pt idx="6">
                  <c:v>Cardiff &amp; Vale UHB, Noah’s Ark / University Hospital Wales</c:v>
                </c:pt>
                <c:pt idx="7">
                  <c:v>Cwm Taf Morgannwg UHB, Princess of Wales Hospital</c:v>
                </c:pt>
                <c:pt idx="8">
                  <c:v>Cwm Taf Morgannwg UHB, Royal Glamorgan Hospital </c:v>
                </c:pt>
                <c:pt idx="9">
                  <c:v>Cwm Taf Morgannwg UHB, Prince Charles Hospital</c:v>
                </c:pt>
                <c:pt idx="10">
                  <c:v>Hywel Dda UHB, Withybush Hospital</c:v>
                </c:pt>
                <c:pt idx="11">
                  <c:v>Swansea Bay UHB, Morriston / Singleton Hospitals</c:v>
                </c:pt>
                <c:pt idx="12">
                  <c:v>Barnstaple, North Devon District Hospital </c:v>
                </c:pt>
                <c:pt idx="13">
                  <c:v>Gloucester, Gloucestershire Hospitals</c:v>
                </c:pt>
                <c:pt idx="14">
                  <c:v>Plymouth, Derriford Hospital </c:v>
                </c:pt>
                <c:pt idx="15">
                  <c:v>Taunton, Musgrove Park Hospital </c:v>
                </c:pt>
                <c:pt idx="16">
                  <c:v>Torquay, Torbay General District Hospital </c:v>
                </c:pt>
              </c:strCache>
            </c:strRef>
          </c:cat>
          <c:val>
            <c:numRef>
              <c:f>'Graph data Q2'!$O$81:$O$97</c:f>
              <c:numCache>
                <c:formatCode>0%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7-4A77-B05E-6CE5B2B15EB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241894528"/>
        <c:axId val="241926144"/>
      </c:barChart>
      <c:catAx>
        <c:axId val="24189452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41926144"/>
        <c:crosses val="autoZero"/>
        <c:auto val="1"/>
        <c:lblAlgn val="ctr"/>
        <c:lblOffset val="100"/>
        <c:noMultiLvlLbl val="0"/>
      </c:catAx>
      <c:valAx>
        <c:axId val="241926144"/>
        <c:scaling>
          <c:orientation val="minMax"/>
          <c:max val="0.35000000000000003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crossAx val="241894528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Adults - Range and Median DNA (%) - Year to Date </a:t>
            </a:r>
          </a:p>
        </c:rich>
      </c:tx>
      <c:overlay val="0"/>
    </c:title>
    <c:autoTitleDeleted val="0"/>
    <c:plotArea>
      <c:layout/>
      <c:stockChart>
        <c:ser>
          <c:idx val="1"/>
          <c:order val="0"/>
          <c:tx>
            <c:v>High</c:v>
          </c:tx>
          <c:spPr>
            <a:ln w="28575">
              <a:noFill/>
            </a:ln>
          </c:spPr>
          <c:marker>
            <c:symbol val="none"/>
          </c:marker>
          <c:cat>
            <c:multiLvlStrRef>
              <c:f>'Graph data Q2'!$F$101:$M$102</c:f>
              <c:multiLvlStrCache>
                <c:ptCount val="8"/>
                <c:lvl>
                  <c:pt idx="0">
                    <c:v>Local consultant</c:v>
                  </c:pt>
                  <c:pt idx="1">
                    <c:v>Visiting consultant </c:v>
                  </c:pt>
                  <c:pt idx="2">
                    <c:v>Local consultant</c:v>
                  </c:pt>
                  <c:pt idx="3">
                    <c:v>Visiting consultant </c:v>
                  </c:pt>
                  <c:pt idx="4">
                    <c:v>Local consultant</c:v>
                  </c:pt>
                  <c:pt idx="5">
                    <c:v>Visiting consultant </c:v>
                  </c:pt>
                  <c:pt idx="6">
                    <c:v>Local consultant</c:v>
                  </c:pt>
                  <c:pt idx="7">
                    <c:v>Visiting consultant </c:v>
                  </c:pt>
                </c:lvl>
                <c:lvl>
                  <c:pt idx="0">
                    <c:v>Q1</c:v>
                  </c:pt>
                  <c:pt idx="2">
                    <c:v>Q2</c:v>
                  </c:pt>
                  <c:pt idx="4">
                    <c:v>Q3</c:v>
                  </c:pt>
                  <c:pt idx="6">
                    <c:v>Q4</c:v>
                  </c:pt>
                </c:lvl>
              </c:multiLvlStrCache>
            </c:multiLvlStrRef>
          </c:cat>
          <c:val>
            <c:numRef>
              <c:f>'Graph data Q2'!$F$103:$M$103</c:f>
              <c:numCache>
                <c:formatCode>0%</c:formatCode>
                <c:ptCount val="8"/>
                <c:pt idx="0">
                  <c:v>0.255</c:v>
                </c:pt>
                <c:pt idx="1">
                  <c:v>0.19</c:v>
                </c:pt>
                <c:pt idx="2">
                  <c:v>0.23</c:v>
                </c:pt>
                <c:pt idx="3">
                  <c:v>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5A-43AD-A80D-923194EC8212}"/>
            </c:ext>
          </c:extLst>
        </c:ser>
        <c:ser>
          <c:idx val="0"/>
          <c:order val="1"/>
          <c:tx>
            <c:v>Low</c:v>
          </c:tx>
          <c:spPr>
            <a:ln w="28575">
              <a:noFill/>
            </a:ln>
          </c:spPr>
          <c:marker>
            <c:symbol val="none"/>
          </c:marker>
          <c:val>
            <c:numRef>
              <c:f>'Graph data Q2'!$F$104:$M$104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5A-43AD-A80D-923194EC8212}"/>
            </c:ext>
          </c:extLst>
        </c:ser>
        <c:ser>
          <c:idx val="2"/>
          <c:order val="2"/>
          <c:tx>
            <c:v>Median</c:v>
          </c:tx>
          <c:spPr>
            <a:ln w="28575">
              <a:noFill/>
            </a:ln>
          </c:spPr>
          <c:marker>
            <c:symbol val="diamond"/>
            <c:size val="10"/>
            <c:spPr>
              <a:solidFill>
                <a:srgbClr val="7C2855"/>
              </a:solidFill>
              <a:ln>
                <a:noFill/>
              </a:ln>
            </c:spPr>
          </c:marker>
          <c:val>
            <c:numRef>
              <c:f>'Graph data Q2'!$F$105:$M$105</c:f>
              <c:numCache>
                <c:formatCode>0%</c:formatCode>
                <c:ptCount val="8"/>
                <c:pt idx="0">
                  <c:v>0.04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5A-43AD-A80D-923194EC8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8575">
              <a:solidFill>
                <a:srgbClr val="7C2855"/>
              </a:solidFill>
            </a:ln>
          </c:spPr>
        </c:hiLowLines>
        <c:axId val="241952256"/>
        <c:axId val="241953792"/>
      </c:stockChart>
      <c:catAx>
        <c:axId val="2419522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41953792"/>
        <c:crosses val="autoZero"/>
        <c:auto val="1"/>
        <c:lblAlgn val="ctr"/>
        <c:lblOffset val="100"/>
        <c:noMultiLvlLbl val="0"/>
      </c:catAx>
      <c:valAx>
        <c:axId val="241953792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crossAx val="2419522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Paediatrics - Range and Median DNA (%)</a:t>
            </a:r>
            <a:r>
              <a:rPr lang="en-US" baseline="0"/>
              <a:t> -</a:t>
            </a:r>
            <a:r>
              <a:rPr lang="en-US"/>
              <a:t> Year to Date </a:t>
            </a:r>
          </a:p>
        </c:rich>
      </c:tx>
      <c:overlay val="0"/>
    </c:title>
    <c:autoTitleDeleted val="0"/>
    <c:plotArea>
      <c:layout/>
      <c:stockChart>
        <c:ser>
          <c:idx val="0"/>
          <c:order val="0"/>
          <c:tx>
            <c:strRef>
              <c:f>'Graph data Q2'!$E$109</c:f>
              <c:strCache>
                <c:ptCount val="1"/>
                <c:pt idx="0">
                  <c:v>High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multiLvlStrRef>
              <c:f>'Graph data Q2'!$F$107:$M$108</c:f>
              <c:multiLvlStrCache>
                <c:ptCount val="8"/>
                <c:lvl>
                  <c:pt idx="0">
                    <c:v>Local consultant</c:v>
                  </c:pt>
                  <c:pt idx="1">
                    <c:v>Visiting consultant </c:v>
                  </c:pt>
                  <c:pt idx="2">
                    <c:v>Local consultant</c:v>
                  </c:pt>
                  <c:pt idx="3">
                    <c:v>Visiting consultant </c:v>
                  </c:pt>
                  <c:pt idx="4">
                    <c:v>Local consultant</c:v>
                  </c:pt>
                  <c:pt idx="5">
                    <c:v>Visiting consultant </c:v>
                  </c:pt>
                  <c:pt idx="6">
                    <c:v>Local consultant</c:v>
                  </c:pt>
                  <c:pt idx="7">
                    <c:v>Visiting consultant </c:v>
                  </c:pt>
                </c:lvl>
                <c:lvl>
                  <c:pt idx="0">
                    <c:v>Q1</c:v>
                  </c:pt>
                  <c:pt idx="2">
                    <c:v>Q2</c:v>
                  </c:pt>
                  <c:pt idx="4">
                    <c:v>Q3</c:v>
                  </c:pt>
                  <c:pt idx="6">
                    <c:v>Q4</c:v>
                  </c:pt>
                </c:lvl>
              </c:multiLvlStrCache>
            </c:multiLvlStrRef>
          </c:cat>
          <c:val>
            <c:numRef>
              <c:f>'Graph data Q2'!$F$109:$M$109</c:f>
              <c:numCache>
                <c:formatCode>0%</c:formatCode>
                <c:ptCount val="8"/>
                <c:pt idx="0">
                  <c:v>0.3095</c:v>
                </c:pt>
                <c:pt idx="1">
                  <c:v>0.1</c:v>
                </c:pt>
                <c:pt idx="2">
                  <c:v>0.22</c:v>
                </c:pt>
                <c:pt idx="3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E6-408F-B082-83C2254F2632}"/>
            </c:ext>
          </c:extLst>
        </c:ser>
        <c:ser>
          <c:idx val="1"/>
          <c:order val="1"/>
          <c:tx>
            <c:strRef>
              <c:f>'Graph data Q2'!$E$110</c:f>
              <c:strCache>
                <c:ptCount val="1"/>
                <c:pt idx="0">
                  <c:v>Low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multiLvlStrRef>
              <c:f>'Graph data Q2'!$F$107:$M$108</c:f>
              <c:multiLvlStrCache>
                <c:ptCount val="8"/>
                <c:lvl>
                  <c:pt idx="0">
                    <c:v>Local consultant</c:v>
                  </c:pt>
                  <c:pt idx="1">
                    <c:v>Visiting consultant </c:v>
                  </c:pt>
                  <c:pt idx="2">
                    <c:v>Local consultant</c:v>
                  </c:pt>
                  <c:pt idx="3">
                    <c:v>Visiting consultant </c:v>
                  </c:pt>
                  <c:pt idx="4">
                    <c:v>Local consultant</c:v>
                  </c:pt>
                  <c:pt idx="5">
                    <c:v>Visiting consultant </c:v>
                  </c:pt>
                  <c:pt idx="6">
                    <c:v>Local consultant</c:v>
                  </c:pt>
                  <c:pt idx="7">
                    <c:v>Visiting consultant </c:v>
                  </c:pt>
                </c:lvl>
                <c:lvl>
                  <c:pt idx="0">
                    <c:v>Q1</c:v>
                  </c:pt>
                  <c:pt idx="2">
                    <c:v>Q2</c:v>
                  </c:pt>
                  <c:pt idx="4">
                    <c:v>Q3</c:v>
                  </c:pt>
                  <c:pt idx="6">
                    <c:v>Q4</c:v>
                  </c:pt>
                </c:lvl>
              </c:multiLvlStrCache>
            </c:multiLvlStrRef>
          </c:cat>
          <c:val>
            <c:numRef>
              <c:f>'Graph data Q2'!$F$110:$M$110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E6-408F-B082-83C2254F2632}"/>
            </c:ext>
          </c:extLst>
        </c:ser>
        <c:ser>
          <c:idx val="2"/>
          <c:order val="2"/>
          <c:tx>
            <c:strRef>
              <c:f>'Graph data Q2'!$E$111</c:f>
              <c:strCache>
                <c:ptCount val="1"/>
                <c:pt idx="0">
                  <c:v>Median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9"/>
            <c:spPr>
              <a:solidFill>
                <a:srgbClr val="C2307C"/>
              </a:solidFill>
              <a:ln>
                <a:noFill/>
              </a:ln>
            </c:spPr>
          </c:marker>
          <c:cat>
            <c:multiLvlStrRef>
              <c:f>'Graph data Q2'!$F$107:$M$108</c:f>
              <c:multiLvlStrCache>
                <c:ptCount val="8"/>
                <c:lvl>
                  <c:pt idx="0">
                    <c:v>Local consultant</c:v>
                  </c:pt>
                  <c:pt idx="1">
                    <c:v>Visiting consultant </c:v>
                  </c:pt>
                  <c:pt idx="2">
                    <c:v>Local consultant</c:v>
                  </c:pt>
                  <c:pt idx="3">
                    <c:v>Visiting consultant </c:v>
                  </c:pt>
                  <c:pt idx="4">
                    <c:v>Local consultant</c:v>
                  </c:pt>
                  <c:pt idx="5">
                    <c:v>Visiting consultant </c:v>
                  </c:pt>
                  <c:pt idx="6">
                    <c:v>Local consultant</c:v>
                  </c:pt>
                  <c:pt idx="7">
                    <c:v>Visiting consultant </c:v>
                  </c:pt>
                </c:lvl>
                <c:lvl>
                  <c:pt idx="0">
                    <c:v>Q1</c:v>
                  </c:pt>
                  <c:pt idx="2">
                    <c:v>Q2</c:v>
                  </c:pt>
                  <c:pt idx="4">
                    <c:v>Q3</c:v>
                  </c:pt>
                  <c:pt idx="6">
                    <c:v>Q4</c:v>
                  </c:pt>
                </c:lvl>
              </c:multiLvlStrCache>
            </c:multiLvlStrRef>
          </c:cat>
          <c:val>
            <c:numRef>
              <c:f>'Graph data Q2'!$F$111:$M$111</c:f>
              <c:numCache>
                <c:formatCode>0%</c:formatCode>
                <c:ptCount val="8"/>
                <c:pt idx="0">
                  <c:v>6.3399999999999998E-2</c:v>
                </c:pt>
                <c:pt idx="1">
                  <c:v>1.6E-2</c:v>
                </c:pt>
                <c:pt idx="2">
                  <c:v>0.08</c:v>
                </c:pt>
                <c:pt idx="3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E6-408F-B082-83C2254F2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8575">
              <a:solidFill>
                <a:srgbClr val="C2307C"/>
              </a:solidFill>
            </a:ln>
          </c:spPr>
        </c:hiLowLines>
        <c:axId val="241996544"/>
        <c:axId val="241998080"/>
      </c:stockChart>
      <c:catAx>
        <c:axId val="2419965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41998080"/>
        <c:crosses val="autoZero"/>
        <c:auto val="1"/>
        <c:lblAlgn val="ctr"/>
        <c:lblOffset val="100"/>
        <c:noMultiLvlLbl val="0"/>
      </c:catAx>
      <c:valAx>
        <c:axId val="24199808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419965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Adults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5574187955761621"/>
          <c:y val="0.1026178010471204"/>
          <c:w val="0.60042714210719028"/>
          <c:h val="0.7961633068117793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'Graph data Q3'!$J$9</c:f>
              <c:strCache>
                <c:ptCount val="1"/>
                <c:pt idx="0">
                  <c:v>Local Consultant</c:v>
                </c:pt>
              </c:strCache>
            </c:strRef>
          </c:tx>
          <c:spPr>
            <a:solidFill>
              <a:srgbClr val="C2307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data Q3'!$I$10:$I$26</c:f>
              <c:strCache>
                <c:ptCount val="17"/>
                <c:pt idx="0">
                  <c:v>Aneurin Bevan UHB, Nevill Hall &amp; Royal Gwent Hospitals</c:v>
                </c:pt>
                <c:pt idx="1">
                  <c:v>Cardiff &amp; Vale UHB, Noah’s Ark / University Hospital Wales</c:v>
                </c:pt>
                <c:pt idx="2">
                  <c:v>Cwm Taf Morgannwg UHB, Princess of Wales Hospital</c:v>
                </c:pt>
                <c:pt idx="3">
                  <c:v>Cwm Taf Morgannwg UHB, Royal Glamorgan Hospital </c:v>
                </c:pt>
                <c:pt idx="4">
                  <c:v>Cwm Taf Morgannwg UHB, Prince Charles Hospital</c:v>
                </c:pt>
                <c:pt idx="5">
                  <c:v>Hywel Dda UHB, Glangwilli Hospital</c:v>
                </c:pt>
                <c:pt idx="6">
                  <c:v>Hywel Dda UHB, Withybush Hospital</c:v>
                </c:pt>
                <c:pt idx="7">
                  <c:v>Swansea Bay UHB, Morriston / Singleton Hospitals</c:v>
                </c:pt>
                <c:pt idx="8">
                  <c:v>Barnstaple, North Devon District Hospital </c:v>
                </c:pt>
                <c:pt idx="9">
                  <c:v>Bristol, Bristol Heart Institute / Bristol Royal Hospital for Children</c:v>
                </c:pt>
                <c:pt idx="10">
                  <c:v>Exeter, Royal Devon and Exeter Hospital </c:v>
                </c:pt>
                <c:pt idx="11">
                  <c:v>Gloucester, Gloucestershire Hospitals</c:v>
                </c:pt>
                <c:pt idx="12">
                  <c:v>Plymouth, Derriford Hospital </c:v>
                </c:pt>
                <c:pt idx="13">
                  <c:v>Swindon, Great Weston Hospital </c:v>
                </c:pt>
                <c:pt idx="14">
                  <c:v>Taunton, Musgrove Park Hospital </c:v>
                </c:pt>
                <c:pt idx="15">
                  <c:v>Torquay, Torbay General District Hospital </c:v>
                </c:pt>
                <c:pt idx="16">
                  <c:v>Truro, Royal Cornwall Hospital </c:v>
                </c:pt>
              </c:strCache>
            </c:strRef>
          </c:cat>
          <c:val>
            <c:numRef>
              <c:f>'Graph data Q3'!$J$10:$J$26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E5-4920-A981-18C9C6893F16}"/>
            </c:ext>
          </c:extLst>
        </c:ser>
        <c:ser>
          <c:idx val="1"/>
          <c:order val="1"/>
          <c:tx>
            <c:strRef>
              <c:f>'Graph data Q3'!$K$9</c:f>
              <c:strCache>
                <c:ptCount val="1"/>
                <c:pt idx="0">
                  <c:v>Visiting Consultant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data Q3'!$I$10:$I$26</c:f>
              <c:strCache>
                <c:ptCount val="17"/>
                <c:pt idx="0">
                  <c:v>Aneurin Bevan UHB, Nevill Hall &amp; Royal Gwent Hospitals</c:v>
                </c:pt>
                <c:pt idx="1">
                  <c:v>Cardiff &amp; Vale UHB, Noah’s Ark / University Hospital Wales</c:v>
                </c:pt>
                <c:pt idx="2">
                  <c:v>Cwm Taf Morgannwg UHB, Princess of Wales Hospital</c:v>
                </c:pt>
                <c:pt idx="3">
                  <c:v>Cwm Taf Morgannwg UHB, Royal Glamorgan Hospital </c:v>
                </c:pt>
                <c:pt idx="4">
                  <c:v>Cwm Taf Morgannwg UHB, Prince Charles Hospital</c:v>
                </c:pt>
                <c:pt idx="5">
                  <c:v>Hywel Dda UHB, Glangwilli Hospital</c:v>
                </c:pt>
                <c:pt idx="6">
                  <c:v>Hywel Dda UHB, Withybush Hospital</c:v>
                </c:pt>
                <c:pt idx="7">
                  <c:v>Swansea Bay UHB, Morriston / Singleton Hospitals</c:v>
                </c:pt>
                <c:pt idx="8">
                  <c:v>Barnstaple, North Devon District Hospital </c:v>
                </c:pt>
                <c:pt idx="9">
                  <c:v>Bristol, Bristol Heart Institute / Bristol Royal Hospital for Children</c:v>
                </c:pt>
                <c:pt idx="10">
                  <c:v>Exeter, Royal Devon and Exeter Hospital </c:v>
                </c:pt>
                <c:pt idx="11">
                  <c:v>Gloucester, Gloucestershire Hospitals</c:v>
                </c:pt>
                <c:pt idx="12">
                  <c:v>Plymouth, Derriford Hospital </c:v>
                </c:pt>
                <c:pt idx="13">
                  <c:v>Swindon, Great Weston Hospital </c:v>
                </c:pt>
                <c:pt idx="14">
                  <c:v>Taunton, Musgrove Park Hospital </c:v>
                </c:pt>
                <c:pt idx="15">
                  <c:v>Torquay, Torbay General District Hospital </c:v>
                </c:pt>
                <c:pt idx="16">
                  <c:v>Truro, Royal Cornwall Hospital </c:v>
                </c:pt>
              </c:strCache>
            </c:strRef>
          </c:cat>
          <c:val>
            <c:numRef>
              <c:f>'Graph data Q3'!$K$10:$K$26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E5-4920-A981-18C9C6893F1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2"/>
        <c:axId val="242610560"/>
        <c:axId val="242612096"/>
      </c:barChart>
      <c:catAx>
        <c:axId val="2426105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242612096"/>
        <c:crosses val="autoZero"/>
        <c:auto val="1"/>
        <c:lblAlgn val="ctr"/>
        <c:lblOffset val="100"/>
        <c:noMultiLvlLbl val="0"/>
      </c:catAx>
      <c:valAx>
        <c:axId val="242612096"/>
        <c:scaling>
          <c:orientation val="minMax"/>
          <c:max val="100"/>
        </c:scaling>
        <c:delete val="1"/>
        <c:axPos val="b"/>
        <c:numFmt formatCode="General" sourceLinked="1"/>
        <c:majorTickMark val="out"/>
        <c:minorTickMark val="none"/>
        <c:tickLblPos val="nextTo"/>
        <c:crossAx val="242610560"/>
        <c:crosses val="autoZero"/>
        <c:crossBetween val="between"/>
        <c:majorUnit val="20"/>
      </c:valAx>
      <c:spPr>
        <a:solidFill>
          <a:schemeClr val="bg1"/>
        </a:solidFill>
      </c:spPr>
    </c:plotArea>
    <c:legend>
      <c:legendPos val="r"/>
      <c:layout>
        <c:manualLayout>
          <c:xMode val="edge"/>
          <c:yMode val="edge"/>
          <c:x val="0.78695589286939105"/>
          <c:y val="0.67280510009464178"/>
          <c:w val="0.14056246075902576"/>
          <c:h val="9.2121749348995779E-2"/>
        </c:manualLayout>
      </c:layout>
      <c:overlay val="0"/>
      <c:spPr>
        <a:ln>
          <a:solidFill>
            <a:schemeClr val="bg1">
              <a:lumMod val="65000"/>
            </a:schemeClr>
          </a:solidFill>
        </a:ln>
      </c:spPr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Paediatrics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43185265910025467"/>
          <c:y val="9.9829421073910379E-2"/>
          <c:w val="0.5536216283431713"/>
          <c:h val="0.8326725916230113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'Graph data Q3'!$C$9</c:f>
              <c:strCache>
                <c:ptCount val="1"/>
                <c:pt idx="0">
                  <c:v>Local Consultant</c:v>
                </c:pt>
              </c:strCache>
            </c:strRef>
          </c:tx>
          <c:spPr>
            <a:solidFill>
              <a:srgbClr val="C2307C"/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51-41D0-8523-75E336DDB3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data Q3'!$B$10:$B$27</c:f>
              <c:strCache>
                <c:ptCount val="18"/>
                <c:pt idx="0">
                  <c:v>Aneurin Bevan UHB, Nevill Hall &amp; Royal Gwent Hospitals</c:v>
                </c:pt>
                <c:pt idx="1">
                  <c:v>Cardiff &amp; Vale UHB, Noah’s Ark / University Hospital Wales</c:v>
                </c:pt>
                <c:pt idx="2">
                  <c:v>Cwm Taf Morgannwg UHB, Princess of Wales Hospital</c:v>
                </c:pt>
                <c:pt idx="3">
                  <c:v>Cwm Taf Morgannwg UHB, Royal Glamorgan Hospital </c:v>
                </c:pt>
                <c:pt idx="4">
                  <c:v>Cwm Taf Morgannwg UHB, Prince Charles Hospital</c:v>
                </c:pt>
                <c:pt idx="5">
                  <c:v>Hywel Dda UHB, Glangwilli Hospital</c:v>
                </c:pt>
                <c:pt idx="6">
                  <c:v>Hywel Dda UHB, Withybush Hospital</c:v>
                </c:pt>
                <c:pt idx="7">
                  <c:v>Swansea Bay UHB, Morriston / Singleton Hospitals</c:v>
                </c:pt>
                <c:pt idx="8">
                  <c:v>Barnstaple, North Devon District Hospital </c:v>
                </c:pt>
                <c:pt idx="9">
                  <c:v>Bath, Royal United Hospital </c:v>
                </c:pt>
                <c:pt idx="10">
                  <c:v>Bristol, Bristol Heart Institute / Bristol Royal Hospital for Children</c:v>
                </c:pt>
                <c:pt idx="11">
                  <c:v>Exeter, Royal Devon and Exeter Hospital </c:v>
                </c:pt>
                <c:pt idx="12">
                  <c:v>Gloucester, Gloucestershire Hospitals</c:v>
                </c:pt>
                <c:pt idx="13">
                  <c:v>Plymouth, Derriford Hospital </c:v>
                </c:pt>
                <c:pt idx="14">
                  <c:v>Swindon, Great Weston Hospital </c:v>
                </c:pt>
                <c:pt idx="15">
                  <c:v>Taunton, Musgrove Park Hospital </c:v>
                </c:pt>
                <c:pt idx="16">
                  <c:v>Torquay, Torbay General District Hospital </c:v>
                </c:pt>
                <c:pt idx="17">
                  <c:v>Truro, Royal Cornwall Hospital </c:v>
                </c:pt>
              </c:strCache>
            </c:strRef>
          </c:cat>
          <c:val>
            <c:numRef>
              <c:f>'Graph data Q3'!$C$10:$C$27</c:f>
              <c:numCache>
                <c:formatCode>General</c:formatCode>
                <c:ptCount val="1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51-41D0-8523-75E336DDB3CA}"/>
            </c:ext>
          </c:extLst>
        </c:ser>
        <c:ser>
          <c:idx val="1"/>
          <c:order val="1"/>
          <c:tx>
            <c:strRef>
              <c:f>'Graph data Q3'!$D$9</c:f>
              <c:strCache>
                <c:ptCount val="1"/>
                <c:pt idx="0">
                  <c:v>Visiting Consultant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data Q3'!$B$10:$B$27</c:f>
              <c:strCache>
                <c:ptCount val="18"/>
                <c:pt idx="0">
                  <c:v>Aneurin Bevan UHB, Nevill Hall &amp; Royal Gwent Hospitals</c:v>
                </c:pt>
                <c:pt idx="1">
                  <c:v>Cardiff &amp; Vale UHB, Noah’s Ark / University Hospital Wales</c:v>
                </c:pt>
                <c:pt idx="2">
                  <c:v>Cwm Taf Morgannwg UHB, Princess of Wales Hospital</c:v>
                </c:pt>
                <c:pt idx="3">
                  <c:v>Cwm Taf Morgannwg UHB, Royal Glamorgan Hospital </c:v>
                </c:pt>
                <c:pt idx="4">
                  <c:v>Cwm Taf Morgannwg UHB, Prince Charles Hospital</c:v>
                </c:pt>
                <c:pt idx="5">
                  <c:v>Hywel Dda UHB, Glangwilli Hospital</c:v>
                </c:pt>
                <c:pt idx="6">
                  <c:v>Hywel Dda UHB, Withybush Hospital</c:v>
                </c:pt>
                <c:pt idx="7">
                  <c:v>Swansea Bay UHB, Morriston / Singleton Hospitals</c:v>
                </c:pt>
                <c:pt idx="8">
                  <c:v>Barnstaple, North Devon District Hospital </c:v>
                </c:pt>
                <c:pt idx="9">
                  <c:v>Bath, Royal United Hospital </c:v>
                </c:pt>
                <c:pt idx="10">
                  <c:v>Bristol, Bristol Heart Institute / Bristol Royal Hospital for Children</c:v>
                </c:pt>
                <c:pt idx="11">
                  <c:v>Exeter, Royal Devon and Exeter Hospital </c:v>
                </c:pt>
                <c:pt idx="12">
                  <c:v>Gloucester, Gloucestershire Hospitals</c:v>
                </c:pt>
                <c:pt idx="13">
                  <c:v>Plymouth, Derriford Hospital </c:v>
                </c:pt>
                <c:pt idx="14">
                  <c:v>Swindon, Great Weston Hospital </c:v>
                </c:pt>
                <c:pt idx="15">
                  <c:v>Taunton, Musgrove Park Hospital </c:v>
                </c:pt>
                <c:pt idx="16">
                  <c:v>Torquay, Torbay General District Hospital </c:v>
                </c:pt>
                <c:pt idx="17">
                  <c:v>Truro, Royal Cornwall Hospital </c:v>
                </c:pt>
              </c:strCache>
            </c:strRef>
          </c:cat>
          <c:val>
            <c:numRef>
              <c:f>'Graph data Q3'!$D$10:$D$27</c:f>
              <c:numCache>
                <c:formatCode>General</c:formatCode>
                <c:ptCount val="1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51-41D0-8523-75E336DDB3C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2"/>
        <c:axId val="236946176"/>
        <c:axId val="236947712"/>
      </c:barChart>
      <c:catAx>
        <c:axId val="2369461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236947712"/>
        <c:crosses val="autoZero"/>
        <c:auto val="1"/>
        <c:lblAlgn val="ctr"/>
        <c:lblOffset val="100"/>
        <c:noMultiLvlLbl val="0"/>
      </c:catAx>
      <c:valAx>
        <c:axId val="236947712"/>
        <c:scaling>
          <c:orientation val="minMax"/>
          <c:max val="100"/>
        </c:scaling>
        <c:delete val="1"/>
        <c:axPos val="b"/>
        <c:numFmt formatCode="General" sourceLinked="1"/>
        <c:majorTickMark val="out"/>
        <c:minorTickMark val="none"/>
        <c:tickLblPos val="nextTo"/>
        <c:crossAx val="236946176"/>
        <c:crosses val="autoZero"/>
        <c:crossBetween val="between"/>
        <c:maj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638565112406124"/>
          <c:y val="0.66617737900073459"/>
          <c:w val="0.16894287886384807"/>
          <c:h val="9.1709726957324114E-2"/>
        </c:manualLayout>
      </c:layout>
      <c:overlay val="1"/>
      <c:spPr>
        <a:ln>
          <a:solidFill>
            <a:schemeClr val="bg1">
              <a:lumMod val="65000"/>
            </a:schemeClr>
          </a:solidFill>
        </a:ln>
      </c:spPr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Adults - local consultant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8363172807924782"/>
          <c:y val="8.5629762095130429E-2"/>
          <c:w val="0.72310924596405202"/>
          <c:h val="0.8130222129186681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'Graph data Q3'!$J$35</c:f>
              <c:strCache>
                <c:ptCount val="1"/>
                <c:pt idx="0">
                  <c:v>3-5 months</c:v>
                </c:pt>
              </c:strCache>
            </c:strRef>
          </c:tx>
          <c:spPr>
            <a:solidFill>
              <a:srgbClr val="7C285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data Q3'!$I$36:$I$52</c:f>
              <c:strCache>
                <c:ptCount val="17"/>
                <c:pt idx="0">
                  <c:v>Aneurin Bevan UHB, Nevill Hall &amp; Royal Gwent Hospitals</c:v>
                </c:pt>
                <c:pt idx="1">
                  <c:v>Cardiff &amp; Vale UHB, Noah’s Ark / University Hospital Wales</c:v>
                </c:pt>
                <c:pt idx="2">
                  <c:v>Cwm Taf Morgannwg UHB, Princess of Wales Hospital</c:v>
                </c:pt>
                <c:pt idx="3">
                  <c:v>Cwm Taf Morgannwg UHB, Royal Glamorgan Hospital </c:v>
                </c:pt>
                <c:pt idx="4">
                  <c:v>Cwm Taf Morgannwg UHB, Prince Charles Hospital</c:v>
                </c:pt>
                <c:pt idx="5">
                  <c:v>Hywel Dda UHB, Glangwilli Hospital</c:v>
                </c:pt>
                <c:pt idx="6">
                  <c:v>Hywel Dda UHB, Withybush Hospital</c:v>
                </c:pt>
                <c:pt idx="7">
                  <c:v>Swansea Bay UHB, Morriston / Singleton Hospitals</c:v>
                </c:pt>
                <c:pt idx="8">
                  <c:v>Barnstaple, North Devon District Hospital </c:v>
                </c:pt>
                <c:pt idx="9">
                  <c:v>Bristol, Bristol Heart Institute / Bristol Royal Hospital for Children</c:v>
                </c:pt>
                <c:pt idx="10">
                  <c:v>Exeter, Royal Devon and Exeter Hospital </c:v>
                </c:pt>
                <c:pt idx="11">
                  <c:v>Gloucester, Gloucestershire Hospitals</c:v>
                </c:pt>
                <c:pt idx="12">
                  <c:v>Plymouth, Derriford Hospital </c:v>
                </c:pt>
                <c:pt idx="13">
                  <c:v>Swindon, Great Weston Hospital </c:v>
                </c:pt>
                <c:pt idx="14">
                  <c:v>Taunton, Musgrove Park Hospital </c:v>
                </c:pt>
                <c:pt idx="15">
                  <c:v>Torquay, Torbay General District Hospital </c:v>
                </c:pt>
                <c:pt idx="16">
                  <c:v>Truro, Royal Cornwall Hospital </c:v>
                </c:pt>
              </c:strCache>
            </c:strRef>
          </c:cat>
          <c:val>
            <c:numRef>
              <c:f>'Graph data Q3'!$J$36:$J$52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11-41B0-A81D-6B8DE108F443}"/>
            </c:ext>
          </c:extLst>
        </c:ser>
        <c:ser>
          <c:idx val="1"/>
          <c:order val="1"/>
          <c:tx>
            <c:strRef>
              <c:f>'Graph data Q3'!$K$35</c:f>
              <c:strCache>
                <c:ptCount val="1"/>
                <c:pt idx="0">
                  <c:v>6 -11 months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data Q3'!$I$36:$I$52</c:f>
              <c:strCache>
                <c:ptCount val="17"/>
                <c:pt idx="0">
                  <c:v>Aneurin Bevan UHB, Nevill Hall &amp; Royal Gwent Hospitals</c:v>
                </c:pt>
                <c:pt idx="1">
                  <c:v>Cardiff &amp; Vale UHB, Noah’s Ark / University Hospital Wales</c:v>
                </c:pt>
                <c:pt idx="2">
                  <c:v>Cwm Taf Morgannwg UHB, Princess of Wales Hospital</c:v>
                </c:pt>
                <c:pt idx="3">
                  <c:v>Cwm Taf Morgannwg UHB, Royal Glamorgan Hospital </c:v>
                </c:pt>
                <c:pt idx="4">
                  <c:v>Cwm Taf Morgannwg UHB, Prince Charles Hospital</c:v>
                </c:pt>
                <c:pt idx="5">
                  <c:v>Hywel Dda UHB, Glangwilli Hospital</c:v>
                </c:pt>
                <c:pt idx="6">
                  <c:v>Hywel Dda UHB, Withybush Hospital</c:v>
                </c:pt>
                <c:pt idx="7">
                  <c:v>Swansea Bay UHB, Morriston / Singleton Hospitals</c:v>
                </c:pt>
                <c:pt idx="8">
                  <c:v>Barnstaple, North Devon District Hospital </c:v>
                </c:pt>
                <c:pt idx="9">
                  <c:v>Bristol, Bristol Heart Institute / Bristol Royal Hospital for Children</c:v>
                </c:pt>
                <c:pt idx="10">
                  <c:v>Exeter, Royal Devon and Exeter Hospital </c:v>
                </c:pt>
                <c:pt idx="11">
                  <c:v>Gloucester, Gloucestershire Hospitals</c:v>
                </c:pt>
                <c:pt idx="12">
                  <c:v>Plymouth, Derriford Hospital </c:v>
                </c:pt>
                <c:pt idx="13">
                  <c:v>Swindon, Great Weston Hospital </c:v>
                </c:pt>
                <c:pt idx="14">
                  <c:v>Taunton, Musgrove Park Hospital </c:v>
                </c:pt>
                <c:pt idx="15">
                  <c:v>Torquay, Torbay General District Hospital </c:v>
                </c:pt>
                <c:pt idx="16">
                  <c:v>Truro, Royal Cornwall Hospital </c:v>
                </c:pt>
              </c:strCache>
            </c:strRef>
          </c:cat>
          <c:val>
            <c:numRef>
              <c:f>'Graph data Q3'!$K$36:$K$52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11-41B0-A81D-6B8DE108F443}"/>
            </c:ext>
          </c:extLst>
        </c:ser>
        <c:ser>
          <c:idx val="2"/>
          <c:order val="2"/>
          <c:tx>
            <c:strRef>
              <c:f>'Graph data Q3'!$L$35</c:f>
              <c:strCache>
                <c:ptCount val="1"/>
                <c:pt idx="0">
                  <c:v>≥12 months</c:v>
                </c:pt>
              </c:strCache>
            </c:strRef>
          </c:tx>
          <c:spPr>
            <a:solidFill>
              <a:srgbClr val="C2307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data Q3'!$I$36:$I$52</c:f>
              <c:strCache>
                <c:ptCount val="17"/>
                <c:pt idx="0">
                  <c:v>Aneurin Bevan UHB, Nevill Hall &amp; Royal Gwent Hospitals</c:v>
                </c:pt>
                <c:pt idx="1">
                  <c:v>Cardiff &amp; Vale UHB, Noah’s Ark / University Hospital Wales</c:v>
                </c:pt>
                <c:pt idx="2">
                  <c:v>Cwm Taf Morgannwg UHB, Princess of Wales Hospital</c:v>
                </c:pt>
                <c:pt idx="3">
                  <c:v>Cwm Taf Morgannwg UHB, Royal Glamorgan Hospital </c:v>
                </c:pt>
                <c:pt idx="4">
                  <c:v>Cwm Taf Morgannwg UHB, Prince Charles Hospital</c:v>
                </c:pt>
                <c:pt idx="5">
                  <c:v>Hywel Dda UHB, Glangwilli Hospital</c:v>
                </c:pt>
                <c:pt idx="6">
                  <c:v>Hywel Dda UHB, Withybush Hospital</c:v>
                </c:pt>
                <c:pt idx="7">
                  <c:v>Swansea Bay UHB, Morriston / Singleton Hospitals</c:v>
                </c:pt>
                <c:pt idx="8">
                  <c:v>Barnstaple, North Devon District Hospital </c:v>
                </c:pt>
                <c:pt idx="9">
                  <c:v>Bristol, Bristol Heart Institute / Bristol Royal Hospital for Children</c:v>
                </c:pt>
                <c:pt idx="10">
                  <c:v>Exeter, Royal Devon and Exeter Hospital </c:v>
                </c:pt>
                <c:pt idx="11">
                  <c:v>Gloucester, Gloucestershire Hospitals</c:v>
                </c:pt>
                <c:pt idx="12">
                  <c:v>Plymouth, Derriford Hospital </c:v>
                </c:pt>
                <c:pt idx="13">
                  <c:v>Swindon, Great Weston Hospital </c:v>
                </c:pt>
                <c:pt idx="14">
                  <c:v>Taunton, Musgrove Park Hospital </c:v>
                </c:pt>
                <c:pt idx="15">
                  <c:v>Torquay, Torbay General District Hospital </c:v>
                </c:pt>
                <c:pt idx="16">
                  <c:v>Truro, Royal Cornwall Hospital </c:v>
                </c:pt>
              </c:strCache>
            </c:strRef>
          </c:cat>
          <c:val>
            <c:numRef>
              <c:f>'Graph data Q3'!$L$36:$L$52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11-41B0-A81D-6B8DE108F44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243022080"/>
        <c:axId val="243040256"/>
      </c:barChart>
      <c:catAx>
        <c:axId val="24302208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43040256"/>
        <c:crosses val="autoZero"/>
        <c:auto val="1"/>
        <c:lblAlgn val="ctr"/>
        <c:lblOffset val="100"/>
        <c:noMultiLvlLbl val="0"/>
      </c:catAx>
      <c:valAx>
        <c:axId val="243040256"/>
        <c:scaling>
          <c:orientation val="minMax"/>
          <c:max val="600"/>
        </c:scaling>
        <c:delete val="0"/>
        <c:axPos val="b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minorGridlines>
          <c:spPr>
            <a:ln>
              <a:solidFill>
                <a:schemeClr val="bg1">
                  <a:lumMod val="85000"/>
                </a:schemeClr>
              </a:solidFill>
            </a:ln>
          </c:spPr>
        </c:minorGridlines>
        <c:numFmt formatCode="General" sourceLinked="1"/>
        <c:majorTickMark val="out"/>
        <c:minorTickMark val="none"/>
        <c:tickLblPos val="nextTo"/>
        <c:crossAx val="243022080"/>
        <c:crosses val="autoZero"/>
        <c:crossBetween val="between"/>
        <c:majorUnit val="50"/>
        <c:minorUnit val="25"/>
      </c:valAx>
    </c:plotArea>
    <c:legend>
      <c:legendPos val="r"/>
      <c:overlay val="1"/>
      <c:spPr>
        <a:ln>
          <a:solidFill>
            <a:schemeClr val="bg1">
              <a:lumMod val="65000"/>
            </a:schemeClr>
          </a:solidFill>
        </a:ln>
      </c:spPr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Adults -  visiting consultant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7885996628506107"/>
          <c:y val="0.10300653246618995"/>
          <c:w val="0.72679126393861659"/>
          <c:h val="0.8126302387996557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'Graph data Q3'!$J$57</c:f>
              <c:strCache>
                <c:ptCount val="1"/>
                <c:pt idx="0">
                  <c:v>3-5 months</c:v>
                </c:pt>
              </c:strCache>
            </c:strRef>
          </c:tx>
          <c:spPr>
            <a:solidFill>
              <a:srgbClr val="7C285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data Q3'!$I$58:$I$74</c:f>
              <c:strCache>
                <c:ptCount val="17"/>
                <c:pt idx="0">
                  <c:v>Aneurin Bevan UHB, Nevill Hall &amp; Royal Gwent Hospitals</c:v>
                </c:pt>
                <c:pt idx="1">
                  <c:v>Cardiff &amp; Vale UHB, Noah’s Ark / University Hospital Wales</c:v>
                </c:pt>
                <c:pt idx="2">
                  <c:v>Cwm Taf Morgannwg UHB, Princess of Wales Hospital</c:v>
                </c:pt>
                <c:pt idx="3">
                  <c:v>Cwm Taf Morgannwg UHB, Royal Glamorgan Hospital </c:v>
                </c:pt>
                <c:pt idx="4">
                  <c:v>Cwm Taf Morgannwg UHB, Prince Charles Hospital</c:v>
                </c:pt>
                <c:pt idx="5">
                  <c:v>Hywel Dda UHB, Glangwilli Hospital</c:v>
                </c:pt>
                <c:pt idx="6">
                  <c:v>Hywel Dda UHB, Withybush Hospital</c:v>
                </c:pt>
                <c:pt idx="7">
                  <c:v>Swansea Bay UHB, Morriston / Singleton Hospitals</c:v>
                </c:pt>
                <c:pt idx="8">
                  <c:v>Barnstaple, North Devon District Hospital </c:v>
                </c:pt>
                <c:pt idx="9">
                  <c:v>Bristol, Bristol Heart Institute / Bristol Royal Hospital for Children</c:v>
                </c:pt>
                <c:pt idx="10">
                  <c:v>Exeter, Royal Devon and Exeter Hospital </c:v>
                </c:pt>
                <c:pt idx="11">
                  <c:v>Gloucester, Gloucestershire Hospitals</c:v>
                </c:pt>
                <c:pt idx="12">
                  <c:v>Plymouth, Derriford Hospital </c:v>
                </c:pt>
                <c:pt idx="13">
                  <c:v>Swindon, Great Weston Hospital </c:v>
                </c:pt>
                <c:pt idx="14">
                  <c:v>Taunton, Musgrove Park Hospital </c:v>
                </c:pt>
                <c:pt idx="15">
                  <c:v>Torquay, Torbay General District Hospital </c:v>
                </c:pt>
                <c:pt idx="16">
                  <c:v>Truro, Royal Cornwall Hospital </c:v>
                </c:pt>
              </c:strCache>
            </c:strRef>
          </c:cat>
          <c:val>
            <c:numRef>
              <c:f>'Graph data Q3'!$J$58:$J$74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E8-4382-9194-7BC10C876DDF}"/>
            </c:ext>
          </c:extLst>
        </c:ser>
        <c:ser>
          <c:idx val="1"/>
          <c:order val="1"/>
          <c:tx>
            <c:strRef>
              <c:f>'Graph data Q3'!$K$57</c:f>
              <c:strCache>
                <c:ptCount val="1"/>
                <c:pt idx="0">
                  <c:v>6 -11 months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data Q3'!$I$58:$I$74</c:f>
              <c:strCache>
                <c:ptCount val="17"/>
                <c:pt idx="0">
                  <c:v>Aneurin Bevan UHB, Nevill Hall &amp; Royal Gwent Hospitals</c:v>
                </c:pt>
                <c:pt idx="1">
                  <c:v>Cardiff &amp; Vale UHB, Noah’s Ark / University Hospital Wales</c:v>
                </c:pt>
                <c:pt idx="2">
                  <c:v>Cwm Taf Morgannwg UHB, Princess of Wales Hospital</c:v>
                </c:pt>
                <c:pt idx="3">
                  <c:v>Cwm Taf Morgannwg UHB, Royal Glamorgan Hospital </c:v>
                </c:pt>
                <c:pt idx="4">
                  <c:v>Cwm Taf Morgannwg UHB, Prince Charles Hospital</c:v>
                </c:pt>
                <c:pt idx="5">
                  <c:v>Hywel Dda UHB, Glangwilli Hospital</c:v>
                </c:pt>
                <c:pt idx="6">
                  <c:v>Hywel Dda UHB, Withybush Hospital</c:v>
                </c:pt>
                <c:pt idx="7">
                  <c:v>Swansea Bay UHB, Morriston / Singleton Hospitals</c:v>
                </c:pt>
                <c:pt idx="8">
                  <c:v>Barnstaple, North Devon District Hospital </c:v>
                </c:pt>
                <c:pt idx="9">
                  <c:v>Bristol, Bristol Heart Institute / Bristol Royal Hospital for Children</c:v>
                </c:pt>
                <c:pt idx="10">
                  <c:v>Exeter, Royal Devon and Exeter Hospital </c:v>
                </c:pt>
                <c:pt idx="11">
                  <c:v>Gloucester, Gloucestershire Hospitals</c:v>
                </c:pt>
                <c:pt idx="12">
                  <c:v>Plymouth, Derriford Hospital </c:v>
                </c:pt>
                <c:pt idx="13">
                  <c:v>Swindon, Great Weston Hospital </c:v>
                </c:pt>
                <c:pt idx="14">
                  <c:v>Taunton, Musgrove Park Hospital </c:v>
                </c:pt>
                <c:pt idx="15">
                  <c:v>Torquay, Torbay General District Hospital </c:v>
                </c:pt>
                <c:pt idx="16">
                  <c:v>Truro, Royal Cornwall Hospital </c:v>
                </c:pt>
              </c:strCache>
            </c:strRef>
          </c:cat>
          <c:val>
            <c:numRef>
              <c:f>'Graph data Q3'!$K$58:$K$74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E8-4382-9194-7BC10C876DDF}"/>
            </c:ext>
          </c:extLst>
        </c:ser>
        <c:ser>
          <c:idx val="2"/>
          <c:order val="2"/>
          <c:tx>
            <c:strRef>
              <c:f>'Graph data Q3'!$L$57</c:f>
              <c:strCache>
                <c:ptCount val="1"/>
                <c:pt idx="0">
                  <c:v>≥12 months</c:v>
                </c:pt>
              </c:strCache>
            </c:strRef>
          </c:tx>
          <c:spPr>
            <a:solidFill>
              <a:srgbClr val="C2307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data Q3'!$I$58:$I$74</c:f>
              <c:strCache>
                <c:ptCount val="17"/>
                <c:pt idx="0">
                  <c:v>Aneurin Bevan UHB, Nevill Hall &amp; Royal Gwent Hospitals</c:v>
                </c:pt>
                <c:pt idx="1">
                  <c:v>Cardiff &amp; Vale UHB, Noah’s Ark / University Hospital Wales</c:v>
                </c:pt>
                <c:pt idx="2">
                  <c:v>Cwm Taf Morgannwg UHB, Princess of Wales Hospital</c:v>
                </c:pt>
                <c:pt idx="3">
                  <c:v>Cwm Taf Morgannwg UHB, Royal Glamorgan Hospital </c:v>
                </c:pt>
                <c:pt idx="4">
                  <c:v>Cwm Taf Morgannwg UHB, Prince Charles Hospital</c:v>
                </c:pt>
                <c:pt idx="5">
                  <c:v>Hywel Dda UHB, Glangwilli Hospital</c:v>
                </c:pt>
                <c:pt idx="6">
                  <c:v>Hywel Dda UHB, Withybush Hospital</c:v>
                </c:pt>
                <c:pt idx="7">
                  <c:v>Swansea Bay UHB, Morriston / Singleton Hospitals</c:v>
                </c:pt>
                <c:pt idx="8">
                  <c:v>Barnstaple, North Devon District Hospital </c:v>
                </c:pt>
                <c:pt idx="9">
                  <c:v>Bristol, Bristol Heart Institute / Bristol Royal Hospital for Children</c:v>
                </c:pt>
                <c:pt idx="10">
                  <c:v>Exeter, Royal Devon and Exeter Hospital </c:v>
                </c:pt>
                <c:pt idx="11">
                  <c:v>Gloucester, Gloucestershire Hospitals</c:v>
                </c:pt>
                <c:pt idx="12">
                  <c:v>Plymouth, Derriford Hospital </c:v>
                </c:pt>
                <c:pt idx="13">
                  <c:v>Swindon, Great Weston Hospital </c:v>
                </c:pt>
                <c:pt idx="14">
                  <c:v>Taunton, Musgrove Park Hospital </c:v>
                </c:pt>
                <c:pt idx="15">
                  <c:v>Torquay, Torbay General District Hospital </c:v>
                </c:pt>
                <c:pt idx="16">
                  <c:v>Truro, Royal Cornwall Hospital </c:v>
                </c:pt>
              </c:strCache>
            </c:strRef>
          </c:cat>
          <c:val>
            <c:numRef>
              <c:f>'Graph data Q3'!$L$58:$L$74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E8-4382-9194-7BC10C876DD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243077120"/>
        <c:axId val="243078656"/>
      </c:barChart>
      <c:catAx>
        <c:axId val="24307712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43078656"/>
        <c:crosses val="autoZero"/>
        <c:auto val="1"/>
        <c:lblAlgn val="ctr"/>
        <c:lblOffset val="100"/>
        <c:noMultiLvlLbl val="0"/>
      </c:catAx>
      <c:valAx>
        <c:axId val="243078656"/>
        <c:scaling>
          <c:orientation val="minMax"/>
          <c:max val="600"/>
        </c:scaling>
        <c:delete val="0"/>
        <c:axPos val="b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minorGridlines>
          <c:spPr>
            <a:ln>
              <a:solidFill>
                <a:schemeClr val="bg1">
                  <a:lumMod val="85000"/>
                </a:schemeClr>
              </a:solidFill>
            </a:ln>
          </c:spPr>
        </c:minorGridlines>
        <c:numFmt formatCode="General" sourceLinked="1"/>
        <c:majorTickMark val="out"/>
        <c:minorTickMark val="none"/>
        <c:tickLblPos val="nextTo"/>
        <c:crossAx val="243077120"/>
        <c:crosses val="autoZero"/>
        <c:crossBetween val="between"/>
        <c:majorUnit val="50"/>
        <c:minorUnit val="25"/>
      </c:valAx>
      <c:spPr>
        <a:ln>
          <a:noFill/>
        </a:ln>
      </c:spPr>
    </c:plotArea>
    <c:legend>
      <c:legendPos val="r"/>
      <c:overlay val="1"/>
      <c:spPr>
        <a:ln>
          <a:solidFill>
            <a:schemeClr val="bg1">
              <a:lumMod val="65000"/>
            </a:schemeClr>
          </a:solidFill>
        </a:ln>
      </c:spPr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Paediatrics -  local consultant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8920097588722171"/>
          <c:y val="0.10895280812244794"/>
          <c:w val="0.78966083264304254"/>
          <c:h val="0.816866998651736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'Graph data Q3'!$C$35</c:f>
              <c:strCache>
                <c:ptCount val="1"/>
                <c:pt idx="0">
                  <c:v>3-5 months</c:v>
                </c:pt>
              </c:strCache>
            </c:strRef>
          </c:tx>
          <c:spPr>
            <a:solidFill>
              <a:srgbClr val="7C285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data Q3'!$B$36:$B$53</c:f>
              <c:strCache>
                <c:ptCount val="18"/>
                <c:pt idx="0">
                  <c:v>Aneurin Bevan UHB, Nevill Hall &amp; Royal Gwent Hospitals</c:v>
                </c:pt>
                <c:pt idx="1">
                  <c:v>Cardiff &amp; Vale UHB, Noah’s Ark / University Hospital Wales</c:v>
                </c:pt>
                <c:pt idx="2">
                  <c:v>Cwm Taf Morgannwg UHB, Princess of Wales Hospital</c:v>
                </c:pt>
                <c:pt idx="3">
                  <c:v>Cwm Taf Morgannwg UHB, Royal Glamorgan Hospital </c:v>
                </c:pt>
                <c:pt idx="4">
                  <c:v>Cwm Taf Morgannwg UHB, Prince Charles Hospital</c:v>
                </c:pt>
                <c:pt idx="5">
                  <c:v>Hywel Dda UHB, Glangwilli Hospital</c:v>
                </c:pt>
                <c:pt idx="6">
                  <c:v>Hywel Dda UHB, Withybush Hospital</c:v>
                </c:pt>
                <c:pt idx="7">
                  <c:v>Swansea Bay UHB, Morriston / Singleton Hospitals</c:v>
                </c:pt>
                <c:pt idx="8">
                  <c:v>Barnstaple, North Devon District Hospital </c:v>
                </c:pt>
                <c:pt idx="9">
                  <c:v>Bath, Royal United Hospital </c:v>
                </c:pt>
                <c:pt idx="10">
                  <c:v>Bristol, Bristol Heart Institute / Bristol Royal Hospital for Children</c:v>
                </c:pt>
                <c:pt idx="11">
                  <c:v>Exeter, Royal Devon and Exeter Hospital </c:v>
                </c:pt>
                <c:pt idx="12">
                  <c:v>Gloucester, Gloucestershire Hospitals</c:v>
                </c:pt>
                <c:pt idx="13">
                  <c:v>Plymouth, Derriford Hospital </c:v>
                </c:pt>
                <c:pt idx="14">
                  <c:v>Swindon, Great Weston Hospital </c:v>
                </c:pt>
                <c:pt idx="15">
                  <c:v>Taunton, Musgrove Park Hospital </c:v>
                </c:pt>
                <c:pt idx="16">
                  <c:v>Torquay, Torbay General District Hospital </c:v>
                </c:pt>
                <c:pt idx="17">
                  <c:v>Truro, Royal Cornwall Hospital </c:v>
                </c:pt>
              </c:strCache>
            </c:strRef>
          </c:cat>
          <c:val>
            <c:numRef>
              <c:f>'Graph data Q3'!$C$36:$C$53</c:f>
              <c:numCache>
                <c:formatCode>General</c:formatCode>
                <c:ptCount val="1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6D-4C88-8458-D673B62A9507}"/>
            </c:ext>
          </c:extLst>
        </c:ser>
        <c:ser>
          <c:idx val="1"/>
          <c:order val="1"/>
          <c:tx>
            <c:strRef>
              <c:f>'Graph data Q3'!$D$35</c:f>
              <c:strCache>
                <c:ptCount val="1"/>
                <c:pt idx="0">
                  <c:v>6 -11 months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data Q3'!$B$36:$B$53</c:f>
              <c:strCache>
                <c:ptCount val="18"/>
                <c:pt idx="0">
                  <c:v>Aneurin Bevan UHB, Nevill Hall &amp; Royal Gwent Hospitals</c:v>
                </c:pt>
                <c:pt idx="1">
                  <c:v>Cardiff &amp; Vale UHB, Noah’s Ark / University Hospital Wales</c:v>
                </c:pt>
                <c:pt idx="2">
                  <c:v>Cwm Taf Morgannwg UHB, Princess of Wales Hospital</c:v>
                </c:pt>
                <c:pt idx="3">
                  <c:v>Cwm Taf Morgannwg UHB, Royal Glamorgan Hospital </c:v>
                </c:pt>
                <c:pt idx="4">
                  <c:v>Cwm Taf Morgannwg UHB, Prince Charles Hospital</c:v>
                </c:pt>
                <c:pt idx="5">
                  <c:v>Hywel Dda UHB, Glangwilli Hospital</c:v>
                </c:pt>
                <c:pt idx="6">
                  <c:v>Hywel Dda UHB, Withybush Hospital</c:v>
                </c:pt>
                <c:pt idx="7">
                  <c:v>Swansea Bay UHB, Morriston / Singleton Hospitals</c:v>
                </c:pt>
                <c:pt idx="8">
                  <c:v>Barnstaple, North Devon District Hospital </c:v>
                </c:pt>
                <c:pt idx="9">
                  <c:v>Bath, Royal United Hospital </c:v>
                </c:pt>
                <c:pt idx="10">
                  <c:v>Bristol, Bristol Heart Institute / Bristol Royal Hospital for Children</c:v>
                </c:pt>
                <c:pt idx="11">
                  <c:v>Exeter, Royal Devon and Exeter Hospital </c:v>
                </c:pt>
                <c:pt idx="12">
                  <c:v>Gloucester, Gloucestershire Hospitals</c:v>
                </c:pt>
                <c:pt idx="13">
                  <c:v>Plymouth, Derriford Hospital </c:v>
                </c:pt>
                <c:pt idx="14">
                  <c:v>Swindon, Great Weston Hospital </c:v>
                </c:pt>
                <c:pt idx="15">
                  <c:v>Taunton, Musgrove Park Hospital </c:v>
                </c:pt>
                <c:pt idx="16">
                  <c:v>Torquay, Torbay General District Hospital </c:v>
                </c:pt>
                <c:pt idx="17">
                  <c:v>Truro, Royal Cornwall Hospital </c:v>
                </c:pt>
              </c:strCache>
            </c:strRef>
          </c:cat>
          <c:val>
            <c:numRef>
              <c:f>'Graph data Q3'!$D$36:$D$53</c:f>
              <c:numCache>
                <c:formatCode>General</c:formatCode>
                <c:ptCount val="1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6D-4C88-8458-D673B62A9507}"/>
            </c:ext>
          </c:extLst>
        </c:ser>
        <c:ser>
          <c:idx val="2"/>
          <c:order val="2"/>
          <c:tx>
            <c:strRef>
              <c:f>'Graph data Q3'!$E$35</c:f>
              <c:strCache>
                <c:ptCount val="1"/>
                <c:pt idx="0">
                  <c:v>≥12 months</c:v>
                </c:pt>
              </c:strCache>
            </c:strRef>
          </c:tx>
          <c:spPr>
            <a:solidFill>
              <a:srgbClr val="C2307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data Q3'!$B$36:$B$53</c:f>
              <c:strCache>
                <c:ptCount val="18"/>
                <c:pt idx="0">
                  <c:v>Aneurin Bevan UHB, Nevill Hall &amp; Royal Gwent Hospitals</c:v>
                </c:pt>
                <c:pt idx="1">
                  <c:v>Cardiff &amp; Vale UHB, Noah’s Ark / University Hospital Wales</c:v>
                </c:pt>
                <c:pt idx="2">
                  <c:v>Cwm Taf Morgannwg UHB, Princess of Wales Hospital</c:v>
                </c:pt>
                <c:pt idx="3">
                  <c:v>Cwm Taf Morgannwg UHB, Royal Glamorgan Hospital </c:v>
                </c:pt>
                <c:pt idx="4">
                  <c:v>Cwm Taf Morgannwg UHB, Prince Charles Hospital</c:v>
                </c:pt>
                <c:pt idx="5">
                  <c:v>Hywel Dda UHB, Glangwilli Hospital</c:v>
                </c:pt>
                <c:pt idx="6">
                  <c:v>Hywel Dda UHB, Withybush Hospital</c:v>
                </c:pt>
                <c:pt idx="7">
                  <c:v>Swansea Bay UHB, Morriston / Singleton Hospitals</c:v>
                </c:pt>
                <c:pt idx="8">
                  <c:v>Barnstaple, North Devon District Hospital </c:v>
                </c:pt>
                <c:pt idx="9">
                  <c:v>Bath, Royal United Hospital </c:v>
                </c:pt>
                <c:pt idx="10">
                  <c:v>Bristol, Bristol Heart Institute / Bristol Royal Hospital for Children</c:v>
                </c:pt>
                <c:pt idx="11">
                  <c:v>Exeter, Royal Devon and Exeter Hospital </c:v>
                </c:pt>
                <c:pt idx="12">
                  <c:v>Gloucester, Gloucestershire Hospitals</c:v>
                </c:pt>
                <c:pt idx="13">
                  <c:v>Plymouth, Derriford Hospital </c:v>
                </c:pt>
                <c:pt idx="14">
                  <c:v>Swindon, Great Weston Hospital </c:v>
                </c:pt>
                <c:pt idx="15">
                  <c:v>Taunton, Musgrove Park Hospital </c:v>
                </c:pt>
                <c:pt idx="16">
                  <c:v>Torquay, Torbay General District Hospital </c:v>
                </c:pt>
                <c:pt idx="17">
                  <c:v>Truro, Royal Cornwall Hospital </c:v>
                </c:pt>
              </c:strCache>
            </c:strRef>
          </c:cat>
          <c:val>
            <c:numRef>
              <c:f>'Graph data Q3'!$E$36:$E$53</c:f>
              <c:numCache>
                <c:formatCode>General</c:formatCode>
                <c:ptCount val="1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6D-4C88-8458-D673B62A950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243160576"/>
        <c:axId val="243162112"/>
      </c:barChart>
      <c:catAx>
        <c:axId val="24316057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43162112"/>
        <c:crosses val="autoZero"/>
        <c:auto val="1"/>
        <c:lblAlgn val="ctr"/>
        <c:lblOffset val="100"/>
        <c:noMultiLvlLbl val="0"/>
      </c:catAx>
      <c:valAx>
        <c:axId val="243162112"/>
        <c:scaling>
          <c:orientation val="minMax"/>
          <c:max val="600"/>
        </c:scaling>
        <c:delete val="0"/>
        <c:axPos val="b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minorGridlines>
          <c:spPr>
            <a:ln>
              <a:solidFill>
                <a:schemeClr val="bg1">
                  <a:lumMod val="85000"/>
                </a:schemeClr>
              </a:solidFill>
            </a:ln>
          </c:spPr>
        </c:minorGridlines>
        <c:numFmt formatCode="General" sourceLinked="1"/>
        <c:majorTickMark val="out"/>
        <c:minorTickMark val="none"/>
        <c:tickLblPos val="nextTo"/>
        <c:crossAx val="243160576"/>
        <c:crosses val="autoZero"/>
        <c:crossBetween val="between"/>
        <c:majorUnit val="50"/>
        <c:minorUnit val="25"/>
      </c:valAx>
    </c:plotArea>
    <c:legend>
      <c:legendPos val="r"/>
      <c:layout>
        <c:manualLayout>
          <c:xMode val="edge"/>
          <c:yMode val="edge"/>
          <c:x val="0.91591820601652907"/>
          <c:y val="0.75285239324796982"/>
          <c:w val="5.9797889184501518E-2"/>
          <c:h val="0.15816115564685013"/>
        </c:manualLayout>
      </c:layout>
      <c:overlay val="1"/>
      <c:spPr>
        <a:solidFill>
          <a:schemeClr val="bg1"/>
        </a:solidFill>
        <a:ln>
          <a:solidFill>
            <a:schemeClr val="bg1">
              <a:lumMod val="65000"/>
            </a:schemeClr>
          </a:solidFill>
        </a:ln>
      </c:spPr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Adults - local consultant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8363172807924782"/>
          <c:y val="8.5629762095130429E-2"/>
          <c:w val="0.72310924596405202"/>
          <c:h val="0.8130222129186681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'Graph data Q1'!$J$35</c:f>
              <c:strCache>
                <c:ptCount val="1"/>
                <c:pt idx="0">
                  <c:v>3-5 months</c:v>
                </c:pt>
              </c:strCache>
            </c:strRef>
          </c:tx>
          <c:spPr>
            <a:solidFill>
              <a:srgbClr val="7C285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data Q1'!$I$36:$I$52</c:f>
              <c:strCache>
                <c:ptCount val="17"/>
                <c:pt idx="0">
                  <c:v>Cardiff &amp; Vale UHB, Noah’s Ark / University Hospital Wales</c:v>
                </c:pt>
                <c:pt idx="1">
                  <c:v>Exeter, Royal Devon and Exeter Hospital </c:v>
                </c:pt>
                <c:pt idx="2">
                  <c:v>Plymouth, Derriford Hospital </c:v>
                </c:pt>
                <c:pt idx="3">
                  <c:v>Swindon, Great Weston Hospital </c:v>
                </c:pt>
                <c:pt idx="4">
                  <c:v>Truro, Royal Cornwall Hospital </c:v>
                </c:pt>
                <c:pt idx="5">
                  <c:v>Taunton, Musgrove Park Hospital </c:v>
                </c:pt>
                <c:pt idx="6">
                  <c:v>Aneurin Bevan UHB, Nevill Hall &amp; Royal Gwent Hospitals</c:v>
                </c:pt>
                <c:pt idx="7">
                  <c:v>Cwm Taf Morgannwg UHB, Princess of Wales Hospital</c:v>
                </c:pt>
                <c:pt idx="8">
                  <c:v>Cwm Taf Morgannwg UHB, Royal Glamorgan Hospital </c:v>
                </c:pt>
                <c:pt idx="9">
                  <c:v>Cwm Taf Morgannwg UHB, Prince Charles Hospital</c:v>
                </c:pt>
                <c:pt idx="10">
                  <c:v>Hywel Dda UHB, Glangwilli Hospital</c:v>
                </c:pt>
                <c:pt idx="11">
                  <c:v>Hywel Dda UHB, Withybush Hospital</c:v>
                </c:pt>
                <c:pt idx="12">
                  <c:v>Torquay, Torbay General District Hospital </c:v>
                </c:pt>
                <c:pt idx="13">
                  <c:v>Gloucester, Gloucestershire Hospitals</c:v>
                </c:pt>
                <c:pt idx="14">
                  <c:v>Barnstaple, North Devon District Hospital </c:v>
                </c:pt>
                <c:pt idx="15">
                  <c:v>Swansea Bay UHB, Morriston / Singleton Hospitals</c:v>
                </c:pt>
                <c:pt idx="16">
                  <c:v>Bristol, Bristol Heart Institute / Bristol Royal Hospital for Children</c:v>
                </c:pt>
              </c:strCache>
            </c:strRef>
          </c:cat>
          <c:val>
            <c:numRef>
              <c:f>'Graph data Q1'!$J$36:$J$52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4</c:v>
                </c:pt>
                <c:pt idx="14">
                  <c:v>23</c:v>
                </c:pt>
                <c:pt idx="15">
                  <c:v>33</c:v>
                </c:pt>
                <c:pt idx="16">
                  <c:v>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11-41B0-A81D-6B8DE108F443}"/>
            </c:ext>
          </c:extLst>
        </c:ser>
        <c:ser>
          <c:idx val="1"/>
          <c:order val="1"/>
          <c:tx>
            <c:strRef>
              <c:f>'Graph data Q1'!$K$35</c:f>
              <c:strCache>
                <c:ptCount val="1"/>
                <c:pt idx="0">
                  <c:v>6 -11 months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data Q1'!$I$36:$I$52</c:f>
              <c:strCache>
                <c:ptCount val="17"/>
                <c:pt idx="0">
                  <c:v>Cardiff &amp; Vale UHB, Noah’s Ark / University Hospital Wales</c:v>
                </c:pt>
                <c:pt idx="1">
                  <c:v>Exeter, Royal Devon and Exeter Hospital </c:v>
                </c:pt>
                <c:pt idx="2">
                  <c:v>Plymouth, Derriford Hospital </c:v>
                </c:pt>
                <c:pt idx="3">
                  <c:v>Swindon, Great Weston Hospital </c:v>
                </c:pt>
                <c:pt idx="4">
                  <c:v>Truro, Royal Cornwall Hospital </c:v>
                </c:pt>
                <c:pt idx="5">
                  <c:v>Taunton, Musgrove Park Hospital </c:v>
                </c:pt>
                <c:pt idx="6">
                  <c:v>Aneurin Bevan UHB, Nevill Hall &amp; Royal Gwent Hospitals</c:v>
                </c:pt>
                <c:pt idx="7">
                  <c:v>Cwm Taf Morgannwg UHB, Princess of Wales Hospital</c:v>
                </c:pt>
                <c:pt idx="8">
                  <c:v>Cwm Taf Morgannwg UHB, Royal Glamorgan Hospital </c:v>
                </c:pt>
                <c:pt idx="9">
                  <c:v>Cwm Taf Morgannwg UHB, Prince Charles Hospital</c:v>
                </c:pt>
                <c:pt idx="10">
                  <c:v>Hywel Dda UHB, Glangwilli Hospital</c:v>
                </c:pt>
                <c:pt idx="11">
                  <c:v>Hywel Dda UHB, Withybush Hospital</c:v>
                </c:pt>
                <c:pt idx="12">
                  <c:v>Torquay, Torbay General District Hospital </c:v>
                </c:pt>
                <c:pt idx="13">
                  <c:v>Gloucester, Gloucestershire Hospitals</c:v>
                </c:pt>
                <c:pt idx="14">
                  <c:v>Barnstaple, North Devon District Hospital </c:v>
                </c:pt>
                <c:pt idx="15">
                  <c:v>Swansea Bay UHB, Morriston / Singleton Hospitals</c:v>
                </c:pt>
                <c:pt idx="16">
                  <c:v>Bristol, Bristol Heart Institute / Bristol Royal Hospital for Children</c:v>
                </c:pt>
              </c:strCache>
            </c:strRef>
          </c:cat>
          <c:val>
            <c:numRef>
              <c:f>'Graph data Q1'!$K$36:$K$52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31</c:v>
                </c:pt>
                <c:pt idx="14">
                  <c:v>24</c:v>
                </c:pt>
                <c:pt idx="15">
                  <c:v>31</c:v>
                </c:pt>
                <c:pt idx="16">
                  <c:v>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11-41B0-A81D-6B8DE108F443}"/>
            </c:ext>
          </c:extLst>
        </c:ser>
        <c:ser>
          <c:idx val="2"/>
          <c:order val="2"/>
          <c:tx>
            <c:strRef>
              <c:f>'Graph data Q1'!$L$35</c:f>
              <c:strCache>
                <c:ptCount val="1"/>
                <c:pt idx="0">
                  <c:v>≥12 months</c:v>
                </c:pt>
              </c:strCache>
            </c:strRef>
          </c:tx>
          <c:spPr>
            <a:solidFill>
              <a:srgbClr val="C2307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data Q1'!$I$36:$I$52</c:f>
              <c:strCache>
                <c:ptCount val="17"/>
                <c:pt idx="0">
                  <c:v>Cardiff &amp; Vale UHB, Noah’s Ark / University Hospital Wales</c:v>
                </c:pt>
                <c:pt idx="1">
                  <c:v>Exeter, Royal Devon and Exeter Hospital </c:v>
                </c:pt>
                <c:pt idx="2">
                  <c:v>Plymouth, Derriford Hospital </c:v>
                </c:pt>
                <c:pt idx="3">
                  <c:v>Swindon, Great Weston Hospital </c:v>
                </c:pt>
                <c:pt idx="4">
                  <c:v>Truro, Royal Cornwall Hospital </c:v>
                </c:pt>
                <c:pt idx="5">
                  <c:v>Taunton, Musgrove Park Hospital </c:v>
                </c:pt>
                <c:pt idx="6">
                  <c:v>Aneurin Bevan UHB, Nevill Hall &amp; Royal Gwent Hospitals</c:v>
                </c:pt>
                <c:pt idx="7">
                  <c:v>Cwm Taf Morgannwg UHB, Princess of Wales Hospital</c:v>
                </c:pt>
                <c:pt idx="8">
                  <c:v>Cwm Taf Morgannwg UHB, Royal Glamorgan Hospital </c:v>
                </c:pt>
                <c:pt idx="9">
                  <c:v>Cwm Taf Morgannwg UHB, Prince Charles Hospital</c:v>
                </c:pt>
                <c:pt idx="10">
                  <c:v>Hywel Dda UHB, Glangwilli Hospital</c:v>
                </c:pt>
                <c:pt idx="11">
                  <c:v>Hywel Dda UHB, Withybush Hospital</c:v>
                </c:pt>
                <c:pt idx="12">
                  <c:v>Torquay, Torbay General District Hospital </c:v>
                </c:pt>
                <c:pt idx="13">
                  <c:v>Gloucester, Gloucestershire Hospitals</c:v>
                </c:pt>
                <c:pt idx="14">
                  <c:v>Barnstaple, North Devon District Hospital </c:v>
                </c:pt>
                <c:pt idx="15">
                  <c:v>Swansea Bay UHB, Morriston / Singleton Hospitals</c:v>
                </c:pt>
                <c:pt idx="16">
                  <c:v>Bristol, Bristol Heart Institute / Bristol Royal Hospital for Children</c:v>
                </c:pt>
              </c:strCache>
            </c:strRef>
          </c:cat>
          <c:val>
            <c:numRef>
              <c:f>'Graph data Q1'!$L$36:$L$52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24</c:v>
                </c:pt>
                <c:pt idx="14">
                  <c:v>14</c:v>
                </c:pt>
                <c:pt idx="15">
                  <c:v>61</c:v>
                </c:pt>
                <c:pt idx="16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11-41B0-A81D-6B8DE108F44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238245376"/>
        <c:axId val="238246912"/>
      </c:barChart>
      <c:catAx>
        <c:axId val="23824537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38246912"/>
        <c:crosses val="autoZero"/>
        <c:auto val="1"/>
        <c:lblAlgn val="ctr"/>
        <c:lblOffset val="100"/>
        <c:noMultiLvlLbl val="0"/>
      </c:catAx>
      <c:valAx>
        <c:axId val="238246912"/>
        <c:scaling>
          <c:orientation val="minMax"/>
          <c:max val="600"/>
        </c:scaling>
        <c:delete val="0"/>
        <c:axPos val="b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minorGridlines>
          <c:spPr>
            <a:ln>
              <a:solidFill>
                <a:schemeClr val="bg1">
                  <a:lumMod val="85000"/>
                </a:schemeClr>
              </a:solidFill>
            </a:ln>
          </c:spPr>
        </c:minorGridlines>
        <c:numFmt formatCode="General" sourceLinked="1"/>
        <c:majorTickMark val="out"/>
        <c:minorTickMark val="none"/>
        <c:tickLblPos val="nextTo"/>
        <c:crossAx val="238245376"/>
        <c:crosses val="autoZero"/>
        <c:crossBetween val="between"/>
        <c:majorUnit val="50"/>
        <c:minorUnit val="25"/>
      </c:valAx>
    </c:plotArea>
    <c:legend>
      <c:legendPos val="r"/>
      <c:overlay val="1"/>
      <c:spPr>
        <a:ln>
          <a:solidFill>
            <a:schemeClr val="bg1">
              <a:lumMod val="65000"/>
            </a:schemeClr>
          </a:solidFill>
        </a:ln>
      </c:spPr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Paediatrics - Visiting consultant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094250294431211"/>
          <c:y val="0.11126584326064609"/>
          <c:w val="0.83853967243667094"/>
          <c:h val="0.7687908005499720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'Graph data Q3'!$C$57</c:f>
              <c:strCache>
                <c:ptCount val="1"/>
                <c:pt idx="0">
                  <c:v>3-5 months</c:v>
                </c:pt>
              </c:strCache>
            </c:strRef>
          </c:tx>
          <c:spPr>
            <a:solidFill>
              <a:srgbClr val="7C285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data Q3'!$B$58:$B$75</c:f>
              <c:strCache>
                <c:ptCount val="18"/>
                <c:pt idx="0">
                  <c:v>Aneurin Bevan UHB, Nevill Hall &amp; Royal Gwent Hospitals</c:v>
                </c:pt>
                <c:pt idx="1">
                  <c:v>Cardiff &amp; Vale UHB, Noah’s Ark / University Hospital Wales</c:v>
                </c:pt>
                <c:pt idx="2">
                  <c:v>Cwm Taf Morgannwg UHB, Princess of Wales Hospital</c:v>
                </c:pt>
                <c:pt idx="3">
                  <c:v>Cwm Taf Morgannwg UHB, Royal Glamorgan Hospital </c:v>
                </c:pt>
                <c:pt idx="4">
                  <c:v>Cwm Taf Morgannwg UHB, Prince Charles Hospital</c:v>
                </c:pt>
                <c:pt idx="5">
                  <c:v>Hywel Dda UHB, Glangwilli Hospital</c:v>
                </c:pt>
                <c:pt idx="6">
                  <c:v>Hywel Dda UHB, Withybush Hospital</c:v>
                </c:pt>
                <c:pt idx="7">
                  <c:v>Swansea Bay UHB, Morriston / Singleton Hospitals</c:v>
                </c:pt>
                <c:pt idx="8">
                  <c:v>Barnstaple, North Devon District Hospital </c:v>
                </c:pt>
                <c:pt idx="9">
                  <c:v>Bath, Royal United Hospital </c:v>
                </c:pt>
                <c:pt idx="10">
                  <c:v>Bristol, Bristol Heart Institute / Bristol Royal Hospital for Children</c:v>
                </c:pt>
                <c:pt idx="11">
                  <c:v>Exeter, Royal Devon and Exeter Hospital </c:v>
                </c:pt>
                <c:pt idx="12">
                  <c:v>Gloucester, Gloucestershire Hospitals</c:v>
                </c:pt>
                <c:pt idx="13">
                  <c:v>Plymouth, Derriford Hospital </c:v>
                </c:pt>
                <c:pt idx="14">
                  <c:v>Swindon, Great Weston Hospital </c:v>
                </c:pt>
                <c:pt idx="15">
                  <c:v>Taunton, Musgrove Park Hospital </c:v>
                </c:pt>
                <c:pt idx="16">
                  <c:v>Torquay, Torbay General District Hospital </c:v>
                </c:pt>
                <c:pt idx="17">
                  <c:v>Truro, Royal Cornwall Hospital </c:v>
                </c:pt>
              </c:strCache>
            </c:strRef>
          </c:cat>
          <c:val>
            <c:numRef>
              <c:f>'Graph data Q3'!$C$58:$C$75</c:f>
              <c:numCache>
                <c:formatCode>0</c:formatCode>
                <c:ptCount val="1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40-4477-B4E3-9142DA587D42}"/>
            </c:ext>
          </c:extLst>
        </c:ser>
        <c:ser>
          <c:idx val="1"/>
          <c:order val="1"/>
          <c:tx>
            <c:strRef>
              <c:f>'Graph data Q3'!$D$57</c:f>
              <c:strCache>
                <c:ptCount val="1"/>
                <c:pt idx="0">
                  <c:v>6 -11 months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data Q3'!$B$58:$B$75</c:f>
              <c:strCache>
                <c:ptCount val="18"/>
                <c:pt idx="0">
                  <c:v>Aneurin Bevan UHB, Nevill Hall &amp; Royal Gwent Hospitals</c:v>
                </c:pt>
                <c:pt idx="1">
                  <c:v>Cardiff &amp; Vale UHB, Noah’s Ark / University Hospital Wales</c:v>
                </c:pt>
                <c:pt idx="2">
                  <c:v>Cwm Taf Morgannwg UHB, Princess of Wales Hospital</c:v>
                </c:pt>
                <c:pt idx="3">
                  <c:v>Cwm Taf Morgannwg UHB, Royal Glamorgan Hospital </c:v>
                </c:pt>
                <c:pt idx="4">
                  <c:v>Cwm Taf Morgannwg UHB, Prince Charles Hospital</c:v>
                </c:pt>
                <c:pt idx="5">
                  <c:v>Hywel Dda UHB, Glangwilli Hospital</c:v>
                </c:pt>
                <c:pt idx="6">
                  <c:v>Hywel Dda UHB, Withybush Hospital</c:v>
                </c:pt>
                <c:pt idx="7">
                  <c:v>Swansea Bay UHB, Morriston / Singleton Hospitals</c:v>
                </c:pt>
                <c:pt idx="8">
                  <c:v>Barnstaple, North Devon District Hospital </c:v>
                </c:pt>
                <c:pt idx="9">
                  <c:v>Bath, Royal United Hospital </c:v>
                </c:pt>
                <c:pt idx="10">
                  <c:v>Bristol, Bristol Heart Institute / Bristol Royal Hospital for Children</c:v>
                </c:pt>
                <c:pt idx="11">
                  <c:v>Exeter, Royal Devon and Exeter Hospital </c:v>
                </c:pt>
                <c:pt idx="12">
                  <c:v>Gloucester, Gloucestershire Hospitals</c:v>
                </c:pt>
                <c:pt idx="13">
                  <c:v>Plymouth, Derriford Hospital </c:v>
                </c:pt>
                <c:pt idx="14">
                  <c:v>Swindon, Great Weston Hospital </c:v>
                </c:pt>
                <c:pt idx="15">
                  <c:v>Taunton, Musgrove Park Hospital </c:v>
                </c:pt>
                <c:pt idx="16">
                  <c:v>Torquay, Torbay General District Hospital </c:v>
                </c:pt>
                <c:pt idx="17">
                  <c:v>Truro, Royal Cornwall Hospital </c:v>
                </c:pt>
              </c:strCache>
            </c:strRef>
          </c:cat>
          <c:val>
            <c:numRef>
              <c:f>'Graph data Q3'!$D$58:$D$75</c:f>
              <c:numCache>
                <c:formatCode>0</c:formatCode>
                <c:ptCount val="1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40-4477-B4E3-9142DA587D42}"/>
            </c:ext>
          </c:extLst>
        </c:ser>
        <c:ser>
          <c:idx val="2"/>
          <c:order val="2"/>
          <c:tx>
            <c:strRef>
              <c:f>'Graph data Q3'!$E$57</c:f>
              <c:strCache>
                <c:ptCount val="1"/>
                <c:pt idx="0">
                  <c:v>≥12 months</c:v>
                </c:pt>
              </c:strCache>
            </c:strRef>
          </c:tx>
          <c:spPr>
            <a:solidFill>
              <a:srgbClr val="C2307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data Q3'!$B$58:$B$75</c:f>
              <c:strCache>
                <c:ptCount val="18"/>
                <c:pt idx="0">
                  <c:v>Aneurin Bevan UHB, Nevill Hall &amp; Royal Gwent Hospitals</c:v>
                </c:pt>
                <c:pt idx="1">
                  <c:v>Cardiff &amp; Vale UHB, Noah’s Ark / University Hospital Wales</c:v>
                </c:pt>
                <c:pt idx="2">
                  <c:v>Cwm Taf Morgannwg UHB, Princess of Wales Hospital</c:v>
                </c:pt>
                <c:pt idx="3">
                  <c:v>Cwm Taf Morgannwg UHB, Royal Glamorgan Hospital </c:v>
                </c:pt>
                <c:pt idx="4">
                  <c:v>Cwm Taf Morgannwg UHB, Prince Charles Hospital</c:v>
                </c:pt>
                <c:pt idx="5">
                  <c:v>Hywel Dda UHB, Glangwilli Hospital</c:v>
                </c:pt>
                <c:pt idx="6">
                  <c:v>Hywel Dda UHB, Withybush Hospital</c:v>
                </c:pt>
                <c:pt idx="7">
                  <c:v>Swansea Bay UHB, Morriston / Singleton Hospitals</c:v>
                </c:pt>
                <c:pt idx="8">
                  <c:v>Barnstaple, North Devon District Hospital </c:v>
                </c:pt>
                <c:pt idx="9">
                  <c:v>Bath, Royal United Hospital </c:v>
                </c:pt>
                <c:pt idx="10">
                  <c:v>Bristol, Bristol Heart Institute / Bristol Royal Hospital for Children</c:v>
                </c:pt>
                <c:pt idx="11">
                  <c:v>Exeter, Royal Devon and Exeter Hospital </c:v>
                </c:pt>
                <c:pt idx="12">
                  <c:v>Gloucester, Gloucestershire Hospitals</c:v>
                </c:pt>
                <c:pt idx="13">
                  <c:v>Plymouth, Derriford Hospital </c:v>
                </c:pt>
                <c:pt idx="14">
                  <c:v>Swindon, Great Weston Hospital </c:v>
                </c:pt>
                <c:pt idx="15">
                  <c:v>Taunton, Musgrove Park Hospital </c:v>
                </c:pt>
                <c:pt idx="16">
                  <c:v>Torquay, Torbay General District Hospital </c:v>
                </c:pt>
                <c:pt idx="17">
                  <c:v>Truro, Royal Cornwall Hospital </c:v>
                </c:pt>
              </c:strCache>
            </c:strRef>
          </c:cat>
          <c:val>
            <c:numRef>
              <c:f>'Graph data Q3'!$E$58:$E$75</c:f>
              <c:numCache>
                <c:formatCode>0</c:formatCode>
                <c:ptCount val="1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40-4477-B4E3-9142DA587D4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243207168"/>
        <c:axId val="243213056"/>
      </c:barChart>
      <c:catAx>
        <c:axId val="24320716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43213056"/>
        <c:crosses val="autoZero"/>
        <c:auto val="1"/>
        <c:lblAlgn val="ctr"/>
        <c:lblOffset val="100"/>
        <c:noMultiLvlLbl val="0"/>
      </c:catAx>
      <c:valAx>
        <c:axId val="243213056"/>
        <c:scaling>
          <c:orientation val="minMax"/>
          <c:max val="600"/>
        </c:scaling>
        <c:delete val="0"/>
        <c:axPos val="b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minorGridlines>
          <c:spPr>
            <a:ln>
              <a:solidFill>
                <a:schemeClr val="bg1">
                  <a:lumMod val="85000"/>
                </a:schemeClr>
              </a:solidFill>
            </a:ln>
          </c:spPr>
        </c:minorGridlines>
        <c:numFmt formatCode="0" sourceLinked="1"/>
        <c:majorTickMark val="out"/>
        <c:minorTickMark val="none"/>
        <c:tickLblPos val="nextTo"/>
        <c:crossAx val="243207168"/>
        <c:crosses val="autoZero"/>
        <c:crossBetween val="between"/>
        <c:majorUnit val="50"/>
        <c:minorUnit val="25"/>
      </c:valAx>
    </c:plotArea>
    <c:legend>
      <c:legendPos val="r"/>
      <c:layout>
        <c:manualLayout>
          <c:xMode val="edge"/>
          <c:yMode val="edge"/>
          <c:x val="0.92479212729892035"/>
          <c:y val="0.70803212978659347"/>
          <c:w val="6.0614386684813587E-2"/>
          <c:h val="0.15529713715363044"/>
        </c:manualLayout>
      </c:layout>
      <c:overlay val="1"/>
      <c:spPr>
        <a:solidFill>
          <a:schemeClr val="bg1"/>
        </a:solidFill>
        <a:ln>
          <a:solidFill>
            <a:schemeClr val="bg1">
              <a:lumMod val="65000"/>
            </a:schemeClr>
          </a:solidFill>
        </a:ln>
      </c:spPr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Paediatrics</a:t>
            </a:r>
            <a:r>
              <a:rPr lang="en-US" baseline="0"/>
              <a:t> DNA rate (%) - </a:t>
            </a:r>
            <a:r>
              <a:rPr lang="en-US"/>
              <a:t>Local consultant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46873633209970839"/>
          <c:y val="0.12550246139575619"/>
          <c:w val="0.5087110185572421"/>
          <c:h val="0.7995948290677772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'Graph data Q3'!$C$80</c:f>
              <c:strCache>
                <c:ptCount val="1"/>
                <c:pt idx="0">
                  <c:v>Local consultant</c:v>
                </c:pt>
              </c:strCache>
            </c:strRef>
          </c:tx>
          <c:spPr>
            <a:solidFill>
              <a:srgbClr val="C2307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data Q3'!$B$81:$B$98</c:f>
              <c:strCache>
                <c:ptCount val="18"/>
                <c:pt idx="0">
                  <c:v>Aneurin Bevan UHB, Nevill Hall &amp; Royal Gwent Hospitals</c:v>
                </c:pt>
                <c:pt idx="1">
                  <c:v>Cardiff &amp; Vale UHB, Noah’s Ark / University Hospital Wales</c:v>
                </c:pt>
                <c:pt idx="2">
                  <c:v>Cwm Taf Morgannwg UHB, Princess of Wales Hospital</c:v>
                </c:pt>
                <c:pt idx="3">
                  <c:v>Cwm Taf Morgannwg UHB, Royal Glamorgan Hospital </c:v>
                </c:pt>
                <c:pt idx="4">
                  <c:v>Cwm Taf Morgannwg UHB, Prince Charles Hospital</c:v>
                </c:pt>
                <c:pt idx="5">
                  <c:v>Hywel Dda UHB, Glangwilli Hospital</c:v>
                </c:pt>
                <c:pt idx="6">
                  <c:v>Hywel Dda UHB, Withybush Hospital</c:v>
                </c:pt>
                <c:pt idx="7">
                  <c:v>Swansea Bay UHB, Morriston / Singleton Hospitals</c:v>
                </c:pt>
                <c:pt idx="8">
                  <c:v>Barnstaple, North Devon District Hospital </c:v>
                </c:pt>
                <c:pt idx="9">
                  <c:v>Bath, Royal United Hospital </c:v>
                </c:pt>
                <c:pt idx="10">
                  <c:v>Bristol, Bristol Heart Institute / Bristol Royal Hospital for Children</c:v>
                </c:pt>
                <c:pt idx="11">
                  <c:v>Exeter, Royal Devon and Exeter Hospital </c:v>
                </c:pt>
                <c:pt idx="12">
                  <c:v>Gloucester, Gloucestershire Hospitals</c:v>
                </c:pt>
                <c:pt idx="13">
                  <c:v>Plymouth, Derriford Hospital </c:v>
                </c:pt>
                <c:pt idx="14">
                  <c:v>Swindon, Great Weston Hospital </c:v>
                </c:pt>
                <c:pt idx="15">
                  <c:v>Taunton, Musgrove Park Hospital </c:v>
                </c:pt>
                <c:pt idx="16">
                  <c:v>Torquay, Torbay General District Hospital </c:v>
                </c:pt>
                <c:pt idx="17">
                  <c:v>Truro, Royal Cornwall Hospital </c:v>
                </c:pt>
              </c:strCache>
            </c:strRef>
          </c:cat>
          <c:val>
            <c:numRef>
              <c:f>'Graph data Q3'!$C$81:$C$98</c:f>
              <c:numCache>
                <c:formatCode>0%</c:formatCode>
                <c:ptCount val="1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FB-40B3-8D30-E30B4D845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43246592"/>
        <c:axId val="243248128"/>
      </c:barChart>
      <c:catAx>
        <c:axId val="24324659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43248128"/>
        <c:crosses val="autoZero"/>
        <c:auto val="1"/>
        <c:lblAlgn val="ctr"/>
        <c:lblOffset val="100"/>
        <c:noMultiLvlLbl val="0"/>
      </c:catAx>
      <c:valAx>
        <c:axId val="243248128"/>
        <c:scaling>
          <c:orientation val="minMax"/>
          <c:max val="0.35000000000000003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crossAx val="2432465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Paediatrics</a:t>
            </a:r>
            <a:r>
              <a:rPr lang="en-US" baseline="0"/>
              <a:t> DNA rate (%) - </a:t>
            </a:r>
            <a:r>
              <a:rPr lang="en-US"/>
              <a:t>Visiting consultant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47370525995635721"/>
          <c:y val="0.11708518652741629"/>
          <c:w val="0.49957174499522033"/>
          <c:h val="0.8130357240909740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'Graph data Q3'!$G$80</c:f>
              <c:strCache>
                <c:ptCount val="1"/>
                <c:pt idx="0">
                  <c:v>Visiting consultant</c:v>
                </c:pt>
              </c:strCache>
            </c:strRef>
          </c:tx>
          <c:spPr>
            <a:solidFill>
              <a:srgbClr val="C2307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data Q3'!$F$81:$F$98</c:f>
              <c:strCache>
                <c:ptCount val="18"/>
                <c:pt idx="0">
                  <c:v>Aneurin Bevan UHB, Nevill Hall &amp; Royal Gwent Hospitals</c:v>
                </c:pt>
                <c:pt idx="1">
                  <c:v>Cardiff &amp; Vale UHB, Noah’s Ark / University Hospital Wales</c:v>
                </c:pt>
                <c:pt idx="2">
                  <c:v>Cwm Taf Morgannwg UHB, Princess of Wales Hospital</c:v>
                </c:pt>
                <c:pt idx="3">
                  <c:v>Cwm Taf Morgannwg UHB, Royal Glamorgan Hospital </c:v>
                </c:pt>
                <c:pt idx="4">
                  <c:v>Cwm Taf Morgannwg UHB, Prince Charles Hospital</c:v>
                </c:pt>
                <c:pt idx="5">
                  <c:v>Hywel Dda UHB, Glangwilli Hospital</c:v>
                </c:pt>
                <c:pt idx="6">
                  <c:v>Hywel Dda UHB, Withybush Hospital</c:v>
                </c:pt>
                <c:pt idx="7">
                  <c:v>Swansea Bay UHB, Morriston / Singleton Hospitals</c:v>
                </c:pt>
                <c:pt idx="8">
                  <c:v>Barnstaple, North Devon District Hospital </c:v>
                </c:pt>
                <c:pt idx="9">
                  <c:v>Bath, Royal United Hospital </c:v>
                </c:pt>
                <c:pt idx="10">
                  <c:v>Bristol, Bristol Heart Institute / Bristol Royal Hospital for Children</c:v>
                </c:pt>
                <c:pt idx="11">
                  <c:v>Exeter, Royal Devon and Exeter Hospital </c:v>
                </c:pt>
                <c:pt idx="12">
                  <c:v>Gloucester, Gloucestershire Hospitals</c:v>
                </c:pt>
                <c:pt idx="13">
                  <c:v>Plymouth, Derriford Hospital </c:v>
                </c:pt>
                <c:pt idx="14">
                  <c:v>Swindon, Great Weston Hospital </c:v>
                </c:pt>
                <c:pt idx="15">
                  <c:v>Taunton, Musgrove Park Hospital </c:v>
                </c:pt>
                <c:pt idx="16">
                  <c:v>Torquay, Torbay General District Hospital </c:v>
                </c:pt>
                <c:pt idx="17">
                  <c:v>Truro, Royal Cornwall Hospital </c:v>
                </c:pt>
              </c:strCache>
            </c:strRef>
          </c:cat>
          <c:val>
            <c:numRef>
              <c:f>'Graph data Q3'!$G$81:$G$98</c:f>
              <c:numCache>
                <c:formatCode>0%</c:formatCode>
                <c:ptCount val="1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D1-4294-A367-10A6E86DD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43264896"/>
        <c:axId val="242771072"/>
      </c:barChart>
      <c:catAx>
        <c:axId val="24326489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42771072"/>
        <c:crosses val="autoZero"/>
        <c:auto val="1"/>
        <c:lblAlgn val="ctr"/>
        <c:lblOffset val="100"/>
        <c:noMultiLvlLbl val="0"/>
      </c:catAx>
      <c:valAx>
        <c:axId val="242771072"/>
        <c:scaling>
          <c:orientation val="minMax"/>
          <c:max val="0.35000000000000003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crossAx val="243264896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Adults</a:t>
            </a:r>
            <a:r>
              <a:rPr lang="en-US" baseline="0"/>
              <a:t> DNA rate (%) -  </a:t>
            </a:r>
            <a:r>
              <a:rPr lang="en-US"/>
              <a:t>Local consultant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44830231038735946"/>
          <c:y val="0.11684074981232774"/>
          <c:w val="0.48900067040474188"/>
          <c:h val="0.7863257183010652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'Graph data Q3'!$K$80</c:f>
              <c:strCache>
                <c:ptCount val="1"/>
                <c:pt idx="0">
                  <c:v>Local consultant</c:v>
                </c:pt>
              </c:strCache>
            </c:strRef>
          </c:tx>
          <c:spPr>
            <a:solidFill>
              <a:srgbClr val="7C285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data Q3'!$J$81:$J$97</c:f>
              <c:strCache>
                <c:ptCount val="17"/>
                <c:pt idx="0">
                  <c:v>Aneurin Bevan UHB, Nevill Hall &amp; Royal Gwent Hospitals</c:v>
                </c:pt>
                <c:pt idx="1">
                  <c:v>Cardiff &amp; Vale UHB, Noah’s Ark / University Hospital Wales</c:v>
                </c:pt>
                <c:pt idx="2">
                  <c:v>Cwm Taf Morgannwg UHB, Princess of Wales Hospital</c:v>
                </c:pt>
                <c:pt idx="3">
                  <c:v>Cwm Taf Morgannwg UHB, Royal Glamorgan Hospital </c:v>
                </c:pt>
                <c:pt idx="4">
                  <c:v>Cwm Taf Morgannwg UHB, Prince Charles Hospital</c:v>
                </c:pt>
                <c:pt idx="5">
                  <c:v>Hywel Dda UHB, Glangwilli Hospital</c:v>
                </c:pt>
                <c:pt idx="6">
                  <c:v>Hywel Dda UHB, Withybush Hospital</c:v>
                </c:pt>
                <c:pt idx="7">
                  <c:v>Swansea Bay UHB, Morriston / Singleton Hospitals</c:v>
                </c:pt>
                <c:pt idx="8">
                  <c:v>Barnstaple, North Devon District Hospital </c:v>
                </c:pt>
                <c:pt idx="9">
                  <c:v>Bristol, Bristol Heart Institute / Bristol Royal Hospital for Children</c:v>
                </c:pt>
                <c:pt idx="10">
                  <c:v>Exeter, Royal Devon and Exeter Hospital </c:v>
                </c:pt>
                <c:pt idx="11">
                  <c:v>Gloucester, Gloucestershire Hospitals</c:v>
                </c:pt>
                <c:pt idx="12">
                  <c:v>Plymouth, Derriford Hospital </c:v>
                </c:pt>
                <c:pt idx="13">
                  <c:v>Swindon, Great Weston Hospital </c:v>
                </c:pt>
                <c:pt idx="14">
                  <c:v>Taunton, Musgrove Park Hospital </c:v>
                </c:pt>
                <c:pt idx="15">
                  <c:v>Torquay, Torbay General District Hospital </c:v>
                </c:pt>
                <c:pt idx="16">
                  <c:v>Truro, Royal Cornwall Hospital </c:v>
                </c:pt>
              </c:strCache>
            </c:strRef>
          </c:cat>
          <c:val>
            <c:numRef>
              <c:f>'Graph data Q3'!$K$81:$K$97</c:f>
              <c:numCache>
                <c:formatCode>0%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3D-4BB3-BFA1-B51EB74D7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42816512"/>
        <c:axId val="242818048"/>
      </c:barChart>
      <c:catAx>
        <c:axId val="24281651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42818048"/>
        <c:crosses val="autoZero"/>
        <c:auto val="1"/>
        <c:lblAlgn val="ctr"/>
        <c:lblOffset val="100"/>
        <c:noMultiLvlLbl val="0"/>
      </c:catAx>
      <c:valAx>
        <c:axId val="242818048"/>
        <c:scaling>
          <c:orientation val="minMax"/>
          <c:max val="0.35000000000000003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crossAx val="242816512"/>
        <c:crosses val="autoZero"/>
        <c:crossBetween val="between"/>
        <c:majorUnit val="5.000000000000001E-2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Adult</a:t>
            </a:r>
            <a:r>
              <a:rPr lang="en-US" baseline="0"/>
              <a:t> DNA rate (%) -  </a:t>
            </a:r>
            <a:r>
              <a:rPr lang="en-US"/>
              <a:t>Visiting consultant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4387732523940443"/>
          <c:y val="0.11659730608107916"/>
          <c:w val="0.47367759417312688"/>
          <c:h val="0.8138147826301874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'Graph data Q3'!$O$80</c:f>
              <c:strCache>
                <c:ptCount val="1"/>
                <c:pt idx="0">
                  <c:v>Visiting consultant</c:v>
                </c:pt>
              </c:strCache>
            </c:strRef>
          </c:tx>
          <c:spPr>
            <a:solidFill>
              <a:srgbClr val="7C285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data Q3'!$N$81:$N$97</c:f>
              <c:strCache>
                <c:ptCount val="17"/>
                <c:pt idx="0">
                  <c:v>Aneurin Bevan UHB, Nevill Hall &amp; Royal Gwent Hospitals</c:v>
                </c:pt>
                <c:pt idx="1">
                  <c:v>Cardiff &amp; Vale UHB, Noah’s Ark / University Hospital Wales</c:v>
                </c:pt>
                <c:pt idx="2">
                  <c:v>Cwm Taf Morgannwg UHB, Princess of Wales Hospital</c:v>
                </c:pt>
                <c:pt idx="3">
                  <c:v>Cwm Taf Morgannwg UHB, Royal Glamorgan Hospital </c:v>
                </c:pt>
                <c:pt idx="4">
                  <c:v>Cwm Taf Morgannwg UHB, Prince Charles Hospital</c:v>
                </c:pt>
                <c:pt idx="5">
                  <c:v>Hywel Dda UHB, Glangwilli Hospital</c:v>
                </c:pt>
                <c:pt idx="6">
                  <c:v>Hywel Dda UHB, Withybush Hospital</c:v>
                </c:pt>
                <c:pt idx="7">
                  <c:v>Swansea Bay UHB, Morriston / Singleton Hospitals</c:v>
                </c:pt>
                <c:pt idx="8">
                  <c:v>Barnstaple, North Devon District Hospital </c:v>
                </c:pt>
                <c:pt idx="9">
                  <c:v>Bristol, Bristol Heart Institute / Bristol Royal Hospital for Children</c:v>
                </c:pt>
                <c:pt idx="10">
                  <c:v>Exeter, Royal Devon and Exeter Hospital </c:v>
                </c:pt>
                <c:pt idx="11">
                  <c:v>Gloucester, Gloucestershire Hospitals</c:v>
                </c:pt>
                <c:pt idx="12">
                  <c:v>Plymouth, Derriford Hospital </c:v>
                </c:pt>
                <c:pt idx="13">
                  <c:v>Swindon, Great Weston Hospital </c:v>
                </c:pt>
                <c:pt idx="14">
                  <c:v>Taunton, Musgrove Park Hospital </c:v>
                </c:pt>
                <c:pt idx="15">
                  <c:v>Torquay, Torbay General District Hospital </c:v>
                </c:pt>
                <c:pt idx="16">
                  <c:v>Truro, Royal Cornwall Hospital </c:v>
                </c:pt>
              </c:strCache>
            </c:strRef>
          </c:cat>
          <c:val>
            <c:numRef>
              <c:f>'Graph data Q3'!$O$81:$O$97</c:f>
              <c:numCache>
                <c:formatCode>0%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7-4A77-B05E-6CE5B2B15EB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242829568"/>
        <c:axId val="242852992"/>
      </c:barChart>
      <c:catAx>
        <c:axId val="24282956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42852992"/>
        <c:crosses val="autoZero"/>
        <c:auto val="1"/>
        <c:lblAlgn val="ctr"/>
        <c:lblOffset val="100"/>
        <c:noMultiLvlLbl val="0"/>
      </c:catAx>
      <c:valAx>
        <c:axId val="242852992"/>
        <c:scaling>
          <c:orientation val="minMax"/>
          <c:max val="0.35000000000000003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crossAx val="242829568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Adults - Range and Median DNA (%) - Year to Date </a:t>
            </a:r>
          </a:p>
        </c:rich>
      </c:tx>
      <c:overlay val="0"/>
    </c:title>
    <c:autoTitleDeleted val="0"/>
    <c:plotArea>
      <c:layout/>
      <c:stockChart>
        <c:ser>
          <c:idx val="1"/>
          <c:order val="0"/>
          <c:tx>
            <c:v>High</c:v>
          </c:tx>
          <c:spPr>
            <a:ln w="28575">
              <a:noFill/>
            </a:ln>
          </c:spPr>
          <c:marker>
            <c:symbol val="none"/>
          </c:marker>
          <c:cat>
            <c:multiLvlStrRef>
              <c:f>'Graph data Q3'!$F$101:$M$102</c:f>
              <c:multiLvlStrCache>
                <c:ptCount val="8"/>
                <c:lvl>
                  <c:pt idx="0">
                    <c:v>Local consultant</c:v>
                  </c:pt>
                  <c:pt idx="1">
                    <c:v>Visiting consultant </c:v>
                  </c:pt>
                  <c:pt idx="2">
                    <c:v>Local consultant</c:v>
                  </c:pt>
                  <c:pt idx="3">
                    <c:v>Visiting consultant </c:v>
                  </c:pt>
                  <c:pt idx="4">
                    <c:v>Local consultant</c:v>
                  </c:pt>
                  <c:pt idx="5">
                    <c:v>Visiting consultant </c:v>
                  </c:pt>
                  <c:pt idx="6">
                    <c:v>Local consultant</c:v>
                  </c:pt>
                  <c:pt idx="7">
                    <c:v>Visiting consultant </c:v>
                  </c:pt>
                </c:lvl>
                <c:lvl>
                  <c:pt idx="0">
                    <c:v>Q1</c:v>
                  </c:pt>
                  <c:pt idx="2">
                    <c:v>Q2</c:v>
                  </c:pt>
                  <c:pt idx="4">
                    <c:v>Q3</c:v>
                  </c:pt>
                  <c:pt idx="6">
                    <c:v>Q4</c:v>
                  </c:pt>
                </c:lvl>
              </c:multiLvlStrCache>
            </c:multiLvlStrRef>
          </c:cat>
          <c:val>
            <c:numRef>
              <c:f>'Graph data Q3'!$F$103:$M$103</c:f>
              <c:numCache>
                <c:formatCode>0%</c:formatCode>
                <c:ptCount val="8"/>
                <c:pt idx="0">
                  <c:v>0.255</c:v>
                </c:pt>
                <c:pt idx="1">
                  <c:v>0.19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4B-4CBF-A8D9-B8C27839DC37}"/>
            </c:ext>
          </c:extLst>
        </c:ser>
        <c:ser>
          <c:idx val="0"/>
          <c:order val="1"/>
          <c:tx>
            <c:v>Low</c:v>
          </c:tx>
          <c:spPr>
            <a:ln w="28575">
              <a:noFill/>
            </a:ln>
          </c:spPr>
          <c:marker>
            <c:symbol val="none"/>
          </c:marker>
          <c:val>
            <c:numRef>
              <c:f>'Graph data Q3'!$F$104:$M$104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4B-4CBF-A8D9-B8C27839DC37}"/>
            </c:ext>
          </c:extLst>
        </c:ser>
        <c:ser>
          <c:idx val="2"/>
          <c:order val="2"/>
          <c:tx>
            <c:v>Median</c:v>
          </c:tx>
          <c:spPr>
            <a:ln w="28575">
              <a:noFill/>
            </a:ln>
          </c:spPr>
          <c:marker>
            <c:symbol val="diamond"/>
            <c:size val="10"/>
            <c:spPr>
              <a:solidFill>
                <a:srgbClr val="7C2855"/>
              </a:solidFill>
              <a:ln>
                <a:noFill/>
              </a:ln>
            </c:spPr>
          </c:marker>
          <c:val>
            <c:numRef>
              <c:f>'Graph data Q3'!$F$105:$M$105</c:f>
              <c:numCache>
                <c:formatCode>0%</c:formatCode>
                <c:ptCount val="8"/>
                <c:pt idx="0">
                  <c:v>0.04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4B-4CBF-A8D9-B8C27839D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8575">
              <a:solidFill>
                <a:srgbClr val="7C2855"/>
              </a:solidFill>
            </a:ln>
          </c:spPr>
        </c:hiLowLines>
        <c:axId val="242891392"/>
        <c:axId val="242893184"/>
      </c:stockChart>
      <c:catAx>
        <c:axId val="2428913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42893184"/>
        <c:crosses val="autoZero"/>
        <c:auto val="1"/>
        <c:lblAlgn val="ctr"/>
        <c:lblOffset val="100"/>
        <c:noMultiLvlLbl val="0"/>
      </c:catAx>
      <c:valAx>
        <c:axId val="242893184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crossAx val="2428913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Paediatrics - Range and Median DNA (%)</a:t>
            </a:r>
            <a:r>
              <a:rPr lang="en-US" baseline="0"/>
              <a:t> -</a:t>
            </a:r>
            <a:r>
              <a:rPr lang="en-US"/>
              <a:t> Year to Date </a:t>
            </a:r>
          </a:p>
        </c:rich>
      </c:tx>
      <c:overlay val="0"/>
    </c:title>
    <c:autoTitleDeleted val="0"/>
    <c:plotArea>
      <c:layout/>
      <c:stockChart>
        <c:ser>
          <c:idx val="0"/>
          <c:order val="0"/>
          <c:tx>
            <c:strRef>
              <c:f>'Graph data Q3'!$E$109</c:f>
              <c:strCache>
                <c:ptCount val="1"/>
                <c:pt idx="0">
                  <c:v>High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multiLvlStrRef>
              <c:f>'Graph data Q3'!$F$107:$M$108</c:f>
              <c:multiLvlStrCache>
                <c:ptCount val="8"/>
                <c:lvl>
                  <c:pt idx="0">
                    <c:v>Local consultant</c:v>
                  </c:pt>
                  <c:pt idx="1">
                    <c:v>Visiting consultant </c:v>
                  </c:pt>
                  <c:pt idx="2">
                    <c:v>Local consultant</c:v>
                  </c:pt>
                  <c:pt idx="3">
                    <c:v>Visiting consultant </c:v>
                  </c:pt>
                  <c:pt idx="4">
                    <c:v>Local consultant</c:v>
                  </c:pt>
                  <c:pt idx="5">
                    <c:v>Visiting consultant </c:v>
                  </c:pt>
                  <c:pt idx="6">
                    <c:v>Local consultant</c:v>
                  </c:pt>
                  <c:pt idx="7">
                    <c:v>Visiting consultant </c:v>
                  </c:pt>
                </c:lvl>
                <c:lvl>
                  <c:pt idx="0">
                    <c:v>Q1</c:v>
                  </c:pt>
                  <c:pt idx="2">
                    <c:v>Q2</c:v>
                  </c:pt>
                  <c:pt idx="4">
                    <c:v>Q3</c:v>
                  </c:pt>
                  <c:pt idx="6">
                    <c:v>Q4</c:v>
                  </c:pt>
                </c:lvl>
              </c:multiLvlStrCache>
            </c:multiLvlStrRef>
          </c:cat>
          <c:val>
            <c:numRef>
              <c:f>'Graph data Q3'!$F$109:$M$109</c:f>
              <c:numCache>
                <c:formatCode>0%</c:formatCode>
                <c:ptCount val="8"/>
                <c:pt idx="0">
                  <c:v>0.3095</c:v>
                </c:pt>
                <c:pt idx="1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00-49D5-AF03-3B2FBC495D45}"/>
            </c:ext>
          </c:extLst>
        </c:ser>
        <c:ser>
          <c:idx val="1"/>
          <c:order val="1"/>
          <c:tx>
            <c:strRef>
              <c:f>'Graph data Q3'!$E$110</c:f>
              <c:strCache>
                <c:ptCount val="1"/>
                <c:pt idx="0">
                  <c:v>Low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multiLvlStrRef>
              <c:f>'Graph data Q3'!$F$107:$M$108</c:f>
              <c:multiLvlStrCache>
                <c:ptCount val="8"/>
                <c:lvl>
                  <c:pt idx="0">
                    <c:v>Local consultant</c:v>
                  </c:pt>
                  <c:pt idx="1">
                    <c:v>Visiting consultant </c:v>
                  </c:pt>
                  <c:pt idx="2">
                    <c:v>Local consultant</c:v>
                  </c:pt>
                  <c:pt idx="3">
                    <c:v>Visiting consultant </c:v>
                  </c:pt>
                  <c:pt idx="4">
                    <c:v>Local consultant</c:v>
                  </c:pt>
                  <c:pt idx="5">
                    <c:v>Visiting consultant </c:v>
                  </c:pt>
                  <c:pt idx="6">
                    <c:v>Local consultant</c:v>
                  </c:pt>
                  <c:pt idx="7">
                    <c:v>Visiting consultant </c:v>
                  </c:pt>
                </c:lvl>
                <c:lvl>
                  <c:pt idx="0">
                    <c:v>Q1</c:v>
                  </c:pt>
                  <c:pt idx="2">
                    <c:v>Q2</c:v>
                  </c:pt>
                  <c:pt idx="4">
                    <c:v>Q3</c:v>
                  </c:pt>
                  <c:pt idx="6">
                    <c:v>Q4</c:v>
                  </c:pt>
                </c:lvl>
              </c:multiLvlStrCache>
            </c:multiLvlStrRef>
          </c:cat>
          <c:val>
            <c:numRef>
              <c:f>'Graph data Q3'!$F$110:$M$110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00-49D5-AF03-3B2FBC495D45}"/>
            </c:ext>
          </c:extLst>
        </c:ser>
        <c:ser>
          <c:idx val="2"/>
          <c:order val="2"/>
          <c:tx>
            <c:strRef>
              <c:f>'Graph data Q3'!$E$111</c:f>
              <c:strCache>
                <c:ptCount val="1"/>
                <c:pt idx="0">
                  <c:v>Median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9"/>
            <c:spPr>
              <a:solidFill>
                <a:srgbClr val="C2307C"/>
              </a:solidFill>
              <a:ln>
                <a:noFill/>
              </a:ln>
            </c:spPr>
          </c:marker>
          <c:cat>
            <c:multiLvlStrRef>
              <c:f>'Graph data Q3'!$F$107:$M$108</c:f>
              <c:multiLvlStrCache>
                <c:ptCount val="8"/>
                <c:lvl>
                  <c:pt idx="0">
                    <c:v>Local consultant</c:v>
                  </c:pt>
                  <c:pt idx="1">
                    <c:v>Visiting consultant </c:v>
                  </c:pt>
                  <c:pt idx="2">
                    <c:v>Local consultant</c:v>
                  </c:pt>
                  <c:pt idx="3">
                    <c:v>Visiting consultant </c:v>
                  </c:pt>
                  <c:pt idx="4">
                    <c:v>Local consultant</c:v>
                  </c:pt>
                  <c:pt idx="5">
                    <c:v>Visiting consultant </c:v>
                  </c:pt>
                  <c:pt idx="6">
                    <c:v>Local consultant</c:v>
                  </c:pt>
                  <c:pt idx="7">
                    <c:v>Visiting consultant </c:v>
                  </c:pt>
                </c:lvl>
                <c:lvl>
                  <c:pt idx="0">
                    <c:v>Q1</c:v>
                  </c:pt>
                  <c:pt idx="2">
                    <c:v>Q2</c:v>
                  </c:pt>
                  <c:pt idx="4">
                    <c:v>Q3</c:v>
                  </c:pt>
                  <c:pt idx="6">
                    <c:v>Q4</c:v>
                  </c:pt>
                </c:lvl>
              </c:multiLvlStrCache>
            </c:multiLvlStrRef>
          </c:cat>
          <c:val>
            <c:numRef>
              <c:f>'Graph data Q3'!$F$111:$M$111</c:f>
              <c:numCache>
                <c:formatCode>0%</c:formatCode>
                <c:ptCount val="8"/>
                <c:pt idx="0">
                  <c:v>6.3399999999999998E-2</c:v>
                </c:pt>
                <c:pt idx="1">
                  <c:v>1.6E-2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00-49D5-AF03-3B2FBC495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8575">
              <a:solidFill>
                <a:srgbClr val="C2307C"/>
              </a:solidFill>
            </a:ln>
          </c:spPr>
        </c:hiLowLines>
        <c:axId val="242919296"/>
        <c:axId val="242920832"/>
      </c:stockChart>
      <c:catAx>
        <c:axId val="2429192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42920832"/>
        <c:crosses val="autoZero"/>
        <c:auto val="1"/>
        <c:lblAlgn val="ctr"/>
        <c:lblOffset val="100"/>
        <c:noMultiLvlLbl val="0"/>
      </c:catAx>
      <c:valAx>
        <c:axId val="24292083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429192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Adults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5574187955761621"/>
          <c:y val="0.1026178010471204"/>
          <c:w val="0.60042714210719028"/>
          <c:h val="0.7961633068117793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'Graph data Q4'!$J$9</c:f>
              <c:strCache>
                <c:ptCount val="1"/>
                <c:pt idx="0">
                  <c:v>Local Consultant</c:v>
                </c:pt>
              </c:strCache>
            </c:strRef>
          </c:tx>
          <c:spPr>
            <a:solidFill>
              <a:srgbClr val="C2307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data Q4'!$I$10:$I$26</c:f>
              <c:strCache>
                <c:ptCount val="17"/>
                <c:pt idx="0">
                  <c:v>Aneurin Bevan UHB, Nevill Hall &amp; Royal Gwent Hospitals</c:v>
                </c:pt>
                <c:pt idx="1">
                  <c:v>Cardiff &amp; Vale UHB, Noah’s Ark / University Hospital Wales</c:v>
                </c:pt>
                <c:pt idx="2">
                  <c:v>Cwm Taf Morgannwg UHB, Princess of Wales Hospital</c:v>
                </c:pt>
                <c:pt idx="3">
                  <c:v>Cwm Taf Morgannwg UHB, Royal Glamorgan Hospital </c:v>
                </c:pt>
                <c:pt idx="4">
                  <c:v>Cwm Taf Morgannwg UHB, Prince Charles Hospital</c:v>
                </c:pt>
                <c:pt idx="5">
                  <c:v>Hywel Dda UHB, Glangwilli Hospital</c:v>
                </c:pt>
                <c:pt idx="6">
                  <c:v>Hywel Dda UHB, Withybush Hospital</c:v>
                </c:pt>
                <c:pt idx="7">
                  <c:v>Swansea Bay UHB, Morriston / Singleton Hospitals</c:v>
                </c:pt>
                <c:pt idx="8">
                  <c:v>Barnstaple, North Devon District Hospital </c:v>
                </c:pt>
                <c:pt idx="9">
                  <c:v>Bristol, Bristol Heart Institute / Bristol Royal Hospital for Children</c:v>
                </c:pt>
                <c:pt idx="10">
                  <c:v>Exeter, Royal Devon and Exeter Hospital </c:v>
                </c:pt>
                <c:pt idx="11">
                  <c:v>Gloucester, Gloucestershire Hospitals</c:v>
                </c:pt>
                <c:pt idx="12">
                  <c:v>Plymouth, Derriford Hospital </c:v>
                </c:pt>
                <c:pt idx="13">
                  <c:v>Swindon, Great Weston Hospital </c:v>
                </c:pt>
                <c:pt idx="14">
                  <c:v>Taunton, Musgrove Park Hospital </c:v>
                </c:pt>
                <c:pt idx="15">
                  <c:v>Torquay, Torbay General District Hospital </c:v>
                </c:pt>
                <c:pt idx="16">
                  <c:v>Truro, Royal Cornwall Hospital </c:v>
                </c:pt>
              </c:strCache>
            </c:strRef>
          </c:cat>
          <c:val>
            <c:numRef>
              <c:f>'Graph data Q4'!$J$10:$J$26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E5-4920-A981-18C9C6893F16}"/>
            </c:ext>
          </c:extLst>
        </c:ser>
        <c:ser>
          <c:idx val="1"/>
          <c:order val="1"/>
          <c:tx>
            <c:strRef>
              <c:f>'Graph data Q4'!$K$9</c:f>
              <c:strCache>
                <c:ptCount val="1"/>
                <c:pt idx="0">
                  <c:v>Visiting Consultant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data Q4'!$I$10:$I$26</c:f>
              <c:strCache>
                <c:ptCount val="17"/>
                <c:pt idx="0">
                  <c:v>Aneurin Bevan UHB, Nevill Hall &amp; Royal Gwent Hospitals</c:v>
                </c:pt>
                <c:pt idx="1">
                  <c:v>Cardiff &amp; Vale UHB, Noah’s Ark / University Hospital Wales</c:v>
                </c:pt>
                <c:pt idx="2">
                  <c:v>Cwm Taf Morgannwg UHB, Princess of Wales Hospital</c:v>
                </c:pt>
                <c:pt idx="3">
                  <c:v>Cwm Taf Morgannwg UHB, Royal Glamorgan Hospital </c:v>
                </c:pt>
                <c:pt idx="4">
                  <c:v>Cwm Taf Morgannwg UHB, Prince Charles Hospital</c:v>
                </c:pt>
                <c:pt idx="5">
                  <c:v>Hywel Dda UHB, Glangwilli Hospital</c:v>
                </c:pt>
                <c:pt idx="6">
                  <c:v>Hywel Dda UHB, Withybush Hospital</c:v>
                </c:pt>
                <c:pt idx="7">
                  <c:v>Swansea Bay UHB, Morriston / Singleton Hospitals</c:v>
                </c:pt>
                <c:pt idx="8">
                  <c:v>Barnstaple, North Devon District Hospital </c:v>
                </c:pt>
                <c:pt idx="9">
                  <c:v>Bristol, Bristol Heart Institute / Bristol Royal Hospital for Children</c:v>
                </c:pt>
                <c:pt idx="10">
                  <c:v>Exeter, Royal Devon and Exeter Hospital </c:v>
                </c:pt>
                <c:pt idx="11">
                  <c:v>Gloucester, Gloucestershire Hospitals</c:v>
                </c:pt>
                <c:pt idx="12">
                  <c:v>Plymouth, Derriford Hospital </c:v>
                </c:pt>
                <c:pt idx="13">
                  <c:v>Swindon, Great Weston Hospital </c:v>
                </c:pt>
                <c:pt idx="14">
                  <c:v>Taunton, Musgrove Park Hospital </c:v>
                </c:pt>
                <c:pt idx="15">
                  <c:v>Torquay, Torbay General District Hospital </c:v>
                </c:pt>
                <c:pt idx="16">
                  <c:v>Truro, Royal Cornwall Hospital </c:v>
                </c:pt>
              </c:strCache>
            </c:strRef>
          </c:cat>
          <c:val>
            <c:numRef>
              <c:f>'Graph data Q4'!$K$10:$K$26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E5-4920-A981-18C9C6893F1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2"/>
        <c:axId val="241513984"/>
        <c:axId val="241515520"/>
      </c:barChart>
      <c:catAx>
        <c:axId val="2415139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241515520"/>
        <c:crosses val="autoZero"/>
        <c:auto val="1"/>
        <c:lblAlgn val="ctr"/>
        <c:lblOffset val="100"/>
        <c:noMultiLvlLbl val="0"/>
      </c:catAx>
      <c:valAx>
        <c:axId val="241515520"/>
        <c:scaling>
          <c:orientation val="minMax"/>
          <c:max val="100"/>
        </c:scaling>
        <c:delete val="1"/>
        <c:axPos val="b"/>
        <c:numFmt formatCode="General" sourceLinked="1"/>
        <c:majorTickMark val="out"/>
        <c:minorTickMark val="none"/>
        <c:tickLblPos val="nextTo"/>
        <c:crossAx val="241513984"/>
        <c:crosses val="autoZero"/>
        <c:crossBetween val="between"/>
        <c:majorUnit val="20"/>
      </c:valAx>
      <c:spPr>
        <a:solidFill>
          <a:schemeClr val="bg1"/>
        </a:solidFill>
      </c:spPr>
    </c:plotArea>
    <c:legend>
      <c:legendPos val="r"/>
      <c:layout>
        <c:manualLayout>
          <c:xMode val="edge"/>
          <c:yMode val="edge"/>
          <c:x val="0.78695589286939105"/>
          <c:y val="0.67280510009464178"/>
          <c:w val="0.14056246075902576"/>
          <c:h val="9.2121749348995779E-2"/>
        </c:manualLayout>
      </c:layout>
      <c:overlay val="0"/>
      <c:spPr>
        <a:ln>
          <a:solidFill>
            <a:schemeClr val="bg1">
              <a:lumMod val="65000"/>
            </a:schemeClr>
          </a:solidFill>
        </a:ln>
      </c:spPr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Paediatrics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43185265910025467"/>
          <c:y val="9.9829421073910379E-2"/>
          <c:w val="0.5536216283431713"/>
          <c:h val="0.8326725916230113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'Graph data Q4'!$C$9</c:f>
              <c:strCache>
                <c:ptCount val="1"/>
                <c:pt idx="0">
                  <c:v>Local Consultant</c:v>
                </c:pt>
              </c:strCache>
            </c:strRef>
          </c:tx>
          <c:spPr>
            <a:solidFill>
              <a:srgbClr val="C2307C"/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51-41D0-8523-75E336DDB3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data Q4'!$B$10:$B$27</c:f>
              <c:strCache>
                <c:ptCount val="18"/>
                <c:pt idx="0">
                  <c:v>Aneurin Bevan UHB, Nevill Hall &amp; Royal Gwent Hospitals</c:v>
                </c:pt>
                <c:pt idx="1">
                  <c:v>Cardiff &amp; Vale UHB, Noah’s Ark / University Hospital Wales</c:v>
                </c:pt>
                <c:pt idx="2">
                  <c:v>Cwm Taf Morgannwg UHB, Princess of Wales Hospital</c:v>
                </c:pt>
                <c:pt idx="3">
                  <c:v>Cwm Taf Morgannwg UHB, Royal Glamorgan Hospital </c:v>
                </c:pt>
                <c:pt idx="4">
                  <c:v>Cwm Taf Morgannwg UHB, Prince Charles Hospital</c:v>
                </c:pt>
                <c:pt idx="5">
                  <c:v>Hywel Dda UHB, Glangwilli Hospital</c:v>
                </c:pt>
                <c:pt idx="6">
                  <c:v>Hywel Dda UHB, Withybush Hospital</c:v>
                </c:pt>
                <c:pt idx="7">
                  <c:v>Swansea Bay UHB, Morriston / Singleton Hospitals</c:v>
                </c:pt>
                <c:pt idx="8">
                  <c:v>Barnstaple, North Devon District Hospital </c:v>
                </c:pt>
                <c:pt idx="9">
                  <c:v>Bath, Royal United Hospital </c:v>
                </c:pt>
                <c:pt idx="10">
                  <c:v>Bristol, Bristol Heart Institute / Bristol Royal Hospital for Children</c:v>
                </c:pt>
                <c:pt idx="11">
                  <c:v>Exeter, Royal Devon and Exeter Hospital </c:v>
                </c:pt>
                <c:pt idx="12">
                  <c:v>Gloucester, Gloucestershire Hospitals</c:v>
                </c:pt>
                <c:pt idx="13">
                  <c:v>Plymouth, Derriford Hospital </c:v>
                </c:pt>
                <c:pt idx="14">
                  <c:v>Swindon, Great Weston Hospital </c:v>
                </c:pt>
                <c:pt idx="15">
                  <c:v>Taunton, Musgrove Park Hospital </c:v>
                </c:pt>
                <c:pt idx="16">
                  <c:v>Torquay, Torbay General District Hospital </c:v>
                </c:pt>
                <c:pt idx="17">
                  <c:v>Truro, Royal Cornwall Hospital </c:v>
                </c:pt>
              </c:strCache>
            </c:strRef>
          </c:cat>
          <c:val>
            <c:numRef>
              <c:f>'Graph data Q4'!$C$10:$C$27</c:f>
              <c:numCache>
                <c:formatCode>General</c:formatCode>
                <c:ptCount val="1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51-41D0-8523-75E336DDB3CA}"/>
            </c:ext>
          </c:extLst>
        </c:ser>
        <c:ser>
          <c:idx val="1"/>
          <c:order val="1"/>
          <c:tx>
            <c:strRef>
              <c:f>'Graph data Q4'!$D$9</c:f>
              <c:strCache>
                <c:ptCount val="1"/>
                <c:pt idx="0">
                  <c:v>Visiting Consultant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data Q4'!$B$10:$B$27</c:f>
              <c:strCache>
                <c:ptCount val="18"/>
                <c:pt idx="0">
                  <c:v>Aneurin Bevan UHB, Nevill Hall &amp; Royal Gwent Hospitals</c:v>
                </c:pt>
                <c:pt idx="1">
                  <c:v>Cardiff &amp; Vale UHB, Noah’s Ark / University Hospital Wales</c:v>
                </c:pt>
                <c:pt idx="2">
                  <c:v>Cwm Taf Morgannwg UHB, Princess of Wales Hospital</c:v>
                </c:pt>
                <c:pt idx="3">
                  <c:v>Cwm Taf Morgannwg UHB, Royal Glamorgan Hospital </c:v>
                </c:pt>
                <c:pt idx="4">
                  <c:v>Cwm Taf Morgannwg UHB, Prince Charles Hospital</c:v>
                </c:pt>
                <c:pt idx="5">
                  <c:v>Hywel Dda UHB, Glangwilli Hospital</c:v>
                </c:pt>
                <c:pt idx="6">
                  <c:v>Hywel Dda UHB, Withybush Hospital</c:v>
                </c:pt>
                <c:pt idx="7">
                  <c:v>Swansea Bay UHB, Morriston / Singleton Hospitals</c:v>
                </c:pt>
                <c:pt idx="8">
                  <c:v>Barnstaple, North Devon District Hospital </c:v>
                </c:pt>
                <c:pt idx="9">
                  <c:v>Bath, Royal United Hospital </c:v>
                </c:pt>
                <c:pt idx="10">
                  <c:v>Bristol, Bristol Heart Institute / Bristol Royal Hospital for Children</c:v>
                </c:pt>
                <c:pt idx="11">
                  <c:v>Exeter, Royal Devon and Exeter Hospital </c:v>
                </c:pt>
                <c:pt idx="12">
                  <c:v>Gloucester, Gloucestershire Hospitals</c:v>
                </c:pt>
                <c:pt idx="13">
                  <c:v>Plymouth, Derriford Hospital </c:v>
                </c:pt>
                <c:pt idx="14">
                  <c:v>Swindon, Great Weston Hospital </c:v>
                </c:pt>
                <c:pt idx="15">
                  <c:v>Taunton, Musgrove Park Hospital </c:v>
                </c:pt>
                <c:pt idx="16">
                  <c:v>Torquay, Torbay General District Hospital </c:v>
                </c:pt>
                <c:pt idx="17">
                  <c:v>Truro, Royal Cornwall Hospital </c:v>
                </c:pt>
              </c:strCache>
            </c:strRef>
          </c:cat>
          <c:val>
            <c:numRef>
              <c:f>'Graph data Q4'!$D$10:$D$27</c:f>
              <c:numCache>
                <c:formatCode>General</c:formatCode>
                <c:ptCount val="1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51-41D0-8523-75E336DDB3C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2"/>
        <c:axId val="241563520"/>
        <c:axId val="241565056"/>
      </c:barChart>
      <c:catAx>
        <c:axId val="2415635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241565056"/>
        <c:crosses val="autoZero"/>
        <c:auto val="1"/>
        <c:lblAlgn val="ctr"/>
        <c:lblOffset val="100"/>
        <c:noMultiLvlLbl val="0"/>
      </c:catAx>
      <c:valAx>
        <c:axId val="241565056"/>
        <c:scaling>
          <c:orientation val="minMax"/>
          <c:max val="100"/>
        </c:scaling>
        <c:delete val="1"/>
        <c:axPos val="b"/>
        <c:numFmt formatCode="General" sourceLinked="1"/>
        <c:majorTickMark val="out"/>
        <c:minorTickMark val="none"/>
        <c:tickLblPos val="nextTo"/>
        <c:crossAx val="241563520"/>
        <c:crosses val="autoZero"/>
        <c:crossBetween val="between"/>
        <c:maj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638565112406124"/>
          <c:y val="0.66617737900073459"/>
          <c:w val="0.16894287886384807"/>
          <c:h val="9.1709726957324114E-2"/>
        </c:manualLayout>
      </c:layout>
      <c:overlay val="1"/>
      <c:spPr>
        <a:ln>
          <a:solidFill>
            <a:schemeClr val="bg1">
              <a:lumMod val="65000"/>
            </a:schemeClr>
          </a:solidFill>
        </a:ln>
      </c:spPr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Adults - local consultant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8363172807924782"/>
          <c:y val="8.5629762095130429E-2"/>
          <c:w val="0.72310924596405202"/>
          <c:h val="0.8130222129186681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'Graph data Q4'!$J$35</c:f>
              <c:strCache>
                <c:ptCount val="1"/>
                <c:pt idx="0">
                  <c:v>3-5 months</c:v>
                </c:pt>
              </c:strCache>
            </c:strRef>
          </c:tx>
          <c:spPr>
            <a:solidFill>
              <a:srgbClr val="7C285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data Q4'!$I$36:$I$52</c:f>
              <c:strCache>
                <c:ptCount val="17"/>
                <c:pt idx="0">
                  <c:v>Aneurin Bevan UHB, Nevill Hall &amp; Royal Gwent Hospitals</c:v>
                </c:pt>
                <c:pt idx="1">
                  <c:v>Cardiff &amp; Vale UHB, Noah’s Ark / University Hospital Wales</c:v>
                </c:pt>
                <c:pt idx="2">
                  <c:v>Cwm Taf Morgannwg UHB, Princess of Wales Hospital</c:v>
                </c:pt>
                <c:pt idx="3">
                  <c:v>Cwm Taf Morgannwg UHB, Royal Glamorgan Hospital </c:v>
                </c:pt>
                <c:pt idx="4">
                  <c:v>Cwm Taf Morgannwg UHB, Prince Charles Hospital</c:v>
                </c:pt>
                <c:pt idx="5">
                  <c:v>Hywel Dda UHB, Glangwilli Hospital</c:v>
                </c:pt>
                <c:pt idx="6">
                  <c:v>Hywel Dda UHB, Withybush Hospital</c:v>
                </c:pt>
                <c:pt idx="7">
                  <c:v>Swansea Bay UHB, Morriston / Singleton Hospitals</c:v>
                </c:pt>
                <c:pt idx="8">
                  <c:v>Barnstaple, North Devon District Hospital </c:v>
                </c:pt>
                <c:pt idx="9">
                  <c:v>Bristol, Bristol Heart Institute / Bristol Royal Hospital for Children</c:v>
                </c:pt>
                <c:pt idx="10">
                  <c:v>Exeter, Royal Devon and Exeter Hospital </c:v>
                </c:pt>
                <c:pt idx="11">
                  <c:v>Gloucester, Gloucestershire Hospitals</c:v>
                </c:pt>
                <c:pt idx="12">
                  <c:v>Plymouth, Derriford Hospital </c:v>
                </c:pt>
                <c:pt idx="13">
                  <c:v>Swindon, Great Weston Hospital </c:v>
                </c:pt>
                <c:pt idx="14">
                  <c:v>Taunton, Musgrove Park Hospital </c:v>
                </c:pt>
                <c:pt idx="15">
                  <c:v>Torquay, Torbay General District Hospital </c:v>
                </c:pt>
                <c:pt idx="16">
                  <c:v>Truro, Royal Cornwall Hospital </c:v>
                </c:pt>
              </c:strCache>
            </c:strRef>
          </c:cat>
          <c:val>
            <c:numRef>
              <c:f>'Graph data Q4'!$J$36:$J$52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11-41B0-A81D-6B8DE108F443}"/>
            </c:ext>
          </c:extLst>
        </c:ser>
        <c:ser>
          <c:idx val="1"/>
          <c:order val="1"/>
          <c:tx>
            <c:strRef>
              <c:f>'Graph data Q4'!$K$35</c:f>
              <c:strCache>
                <c:ptCount val="1"/>
                <c:pt idx="0">
                  <c:v>6 -11 months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data Q4'!$I$36:$I$52</c:f>
              <c:strCache>
                <c:ptCount val="17"/>
                <c:pt idx="0">
                  <c:v>Aneurin Bevan UHB, Nevill Hall &amp; Royal Gwent Hospitals</c:v>
                </c:pt>
                <c:pt idx="1">
                  <c:v>Cardiff &amp; Vale UHB, Noah’s Ark / University Hospital Wales</c:v>
                </c:pt>
                <c:pt idx="2">
                  <c:v>Cwm Taf Morgannwg UHB, Princess of Wales Hospital</c:v>
                </c:pt>
                <c:pt idx="3">
                  <c:v>Cwm Taf Morgannwg UHB, Royal Glamorgan Hospital </c:v>
                </c:pt>
                <c:pt idx="4">
                  <c:v>Cwm Taf Morgannwg UHB, Prince Charles Hospital</c:v>
                </c:pt>
                <c:pt idx="5">
                  <c:v>Hywel Dda UHB, Glangwilli Hospital</c:v>
                </c:pt>
                <c:pt idx="6">
                  <c:v>Hywel Dda UHB, Withybush Hospital</c:v>
                </c:pt>
                <c:pt idx="7">
                  <c:v>Swansea Bay UHB, Morriston / Singleton Hospitals</c:v>
                </c:pt>
                <c:pt idx="8">
                  <c:v>Barnstaple, North Devon District Hospital </c:v>
                </c:pt>
                <c:pt idx="9">
                  <c:v>Bristol, Bristol Heart Institute / Bristol Royal Hospital for Children</c:v>
                </c:pt>
                <c:pt idx="10">
                  <c:v>Exeter, Royal Devon and Exeter Hospital </c:v>
                </c:pt>
                <c:pt idx="11">
                  <c:v>Gloucester, Gloucestershire Hospitals</c:v>
                </c:pt>
                <c:pt idx="12">
                  <c:v>Plymouth, Derriford Hospital </c:v>
                </c:pt>
                <c:pt idx="13">
                  <c:v>Swindon, Great Weston Hospital </c:v>
                </c:pt>
                <c:pt idx="14">
                  <c:v>Taunton, Musgrove Park Hospital </c:v>
                </c:pt>
                <c:pt idx="15">
                  <c:v>Torquay, Torbay General District Hospital </c:v>
                </c:pt>
                <c:pt idx="16">
                  <c:v>Truro, Royal Cornwall Hospital </c:v>
                </c:pt>
              </c:strCache>
            </c:strRef>
          </c:cat>
          <c:val>
            <c:numRef>
              <c:f>'Graph data Q4'!$K$36:$K$52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11-41B0-A81D-6B8DE108F443}"/>
            </c:ext>
          </c:extLst>
        </c:ser>
        <c:ser>
          <c:idx val="2"/>
          <c:order val="2"/>
          <c:tx>
            <c:strRef>
              <c:f>'Graph data Q4'!$L$35</c:f>
              <c:strCache>
                <c:ptCount val="1"/>
                <c:pt idx="0">
                  <c:v>≥12 months</c:v>
                </c:pt>
              </c:strCache>
            </c:strRef>
          </c:tx>
          <c:spPr>
            <a:solidFill>
              <a:srgbClr val="C2307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data Q4'!$I$36:$I$52</c:f>
              <c:strCache>
                <c:ptCount val="17"/>
                <c:pt idx="0">
                  <c:v>Aneurin Bevan UHB, Nevill Hall &amp; Royal Gwent Hospitals</c:v>
                </c:pt>
                <c:pt idx="1">
                  <c:v>Cardiff &amp; Vale UHB, Noah’s Ark / University Hospital Wales</c:v>
                </c:pt>
                <c:pt idx="2">
                  <c:v>Cwm Taf Morgannwg UHB, Princess of Wales Hospital</c:v>
                </c:pt>
                <c:pt idx="3">
                  <c:v>Cwm Taf Morgannwg UHB, Royal Glamorgan Hospital </c:v>
                </c:pt>
                <c:pt idx="4">
                  <c:v>Cwm Taf Morgannwg UHB, Prince Charles Hospital</c:v>
                </c:pt>
                <c:pt idx="5">
                  <c:v>Hywel Dda UHB, Glangwilli Hospital</c:v>
                </c:pt>
                <c:pt idx="6">
                  <c:v>Hywel Dda UHB, Withybush Hospital</c:v>
                </c:pt>
                <c:pt idx="7">
                  <c:v>Swansea Bay UHB, Morriston / Singleton Hospitals</c:v>
                </c:pt>
                <c:pt idx="8">
                  <c:v>Barnstaple, North Devon District Hospital </c:v>
                </c:pt>
                <c:pt idx="9">
                  <c:v>Bristol, Bristol Heart Institute / Bristol Royal Hospital for Children</c:v>
                </c:pt>
                <c:pt idx="10">
                  <c:v>Exeter, Royal Devon and Exeter Hospital </c:v>
                </c:pt>
                <c:pt idx="11">
                  <c:v>Gloucester, Gloucestershire Hospitals</c:v>
                </c:pt>
                <c:pt idx="12">
                  <c:v>Plymouth, Derriford Hospital </c:v>
                </c:pt>
                <c:pt idx="13">
                  <c:v>Swindon, Great Weston Hospital </c:v>
                </c:pt>
                <c:pt idx="14">
                  <c:v>Taunton, Musgrove Park Hospital </c:v>
                </c:pt>
                <c:pt idx="15">
                  <c:v>Torquay, Torbay General District Hospital </c:v>
                </c:pt>
                <c:pt idx="16">
                  <c:v>Truro, Royal Cornwall Hospital </c:v>
                </c:pt>
              </c:strCache>
            </c:strRef>
          </c:cat>
          <c:val>
            <c:numRef>
              <c:f>'Graph data Q4'!$L$36:$L$52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11-41B0-A81D-6B8DE108F44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243989888"/>
        <c:axId val="244003968"/>
      </c:barChart>
      <c:catAx>
        <c:axId val="24398988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44003968"/>
        <c:crosses val="autoZero"/>
        <c:auto val="1"/>
        <c:lblAlgn val="ctr"/>
        <c:lblOffset val="100"/>
        <c:noMultiLvlLbl val="0"/>
      </c:catAx>
      <c:valAx>
        <c:axId val="244003968"/>
        <c:scaling>
          <c:orientation val="minMax"/>
          <c:max val="600"/>
        </c:scaling>
        <c:delete val="0"/>
        <c:axPos val="b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minorGridlines>
          <c:spPr>
            <a:ln>
              <a:solidFill>
                <a:schemeClr val="bg1">
                  <a:lumMod val="85000"/>
                </a:schemeClr>
              </a:solidFill>
            </a:ln>
          </c:spPr>
        </c:minorGridlines>
        <c:numFmt formatCode="General" sourceLinked="1"/>
        <c:majorTickMark val="out"/>
        <c:minorTickMark val="none"/>
        <c:tickLblPos val="nextTo"/>
        <c:crossAx val="243989888"/>
        <c:crosses val="autoZero"/>
        <c:crossBetween val="between"/>
        <c:majorUnit val="50"/>
        <c:minorUnit val="25"/>
      </c:valAx>
    </c:plotArea>
    <c:legend>
      <c:legendPos val="r"/>
      <c:overlay val="1"/>
      <c:spPr>
        <a:ln>
          <a:solidFill>
            <a:schemeClr val="bg1">
              <a:lumMod val="65000"/>
            </a:schemeClr>
          </a:solidFill>
        </a:ln>
      </c:spPr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Adults -  visiting consultant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7885996628506107"/>
          <c:y val="0.10300653246618995"/>
          <c:w val="0.72679126393861659"/>
          <c:h val="0.8126302387996557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'Graph data Q1'!$J$57</c:f>
              <c:strCache>
                <c:ptCount val="1"/>
                <c:pt idx="0">
                  <c:v>3-5 months</c:v>
                </c:pt>
              </c:strCache>
            </c:strRef>
          </c:tx>
          <c:spPr>
            <a:solidFill>
              <a:srgbClr val="7C285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data Q1'!$I$58:$I$74</c:f>
              <c:strCache>
                <c:ptCount val="17"/>
                <c:pt idx="0">
                  <c:v>Cardiff &amp; Vale UHB, Noah’s Ark / University Hospital Wales</c:v>
                </c:pt>
                <c:pt idx="1">
                  <c:v>Exeter, Royal Devon and Exeter Hospital </c:v>
                </c:pt>
                <c:pt idx="2">
                  <c:v>Plymouth, Derriford Hospital </c:v>
                </c:pt>
                <c:pt idx="3">
                  <c:v>Swindon, Great Weston Hospital </c:v>
                </c:pt>
                <c:pt idx="4">
                  <c:v>Truro, Royal Cornwall Hospital </c:v>
                </c:pt>
                <c:pt idx="5">
                  <c:v>Cwm Taf Morgannwg UHB, Royal Glamorgan Hospital </c:v>
                </c:pt>
                <c:pt idx="6">
                  <c:v>Cwm Taf Morgannwg UHB, Prince Charles Hospital</c:v>
                </c:pt>
                <c:pt idx="7">
                  <c:v>Swansea Bay UHB, Morriston / Singleton Hospitals</c:v>
                </c:pt>
                <c:pt idx="8">
                  <c:v>Bristol, Bristol Heart Institute / Bristol Royal Hospital for Children</c:v>
                </c:pt>
                <c:pt idx="9">
                  <c:v>Hywel Dda UHB, Withybush Hospital</c:v>
                </c:pt>
                <c:pt idx="10">
                  <c:v>Torquay, Torbay General District Hospital </c:v>
                </c:pt>
                <c:pt idx="11">
                  <c:v>Taunton, Musgrove Park Hospital </c:v>
                </c:pt>
                <c:pt idx="12">
                  <c:v>Gloucester, Gloucestershire Hospitals</c:v>
                </c:pt>
                <c:pt idx="13">
                  <c:v>Barnstaple, North Devon District Hospital </c:v>
                </c:pt>
                <c:pt idx="14">
                  <c:v>Hywel Dda UHB, Glangwilli Hospital</c:v>
                </c:pt>
                <c:pt idx="15">
                  <c:v>Aneurin Bevan UHB, Nevill Hall &amp; Royal Gwent Hospitals</c:v>
                </c:pt>
                <c:pt idx="16">
                  <c:v>Cwm Taf Morgannwg UHB, Princess of Wales Hospital</c:v>
                </c:pt>
              </c:strCache>
            </c:strRef>
          </c:cat>
          <c:val>
            <c:numRef>
              <c:f>'Graph data Q1'!$J$58:$J$74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6</c:v>
                </c:pt>
                <c:pt idx="11">
                  <c:v>13</c:v>
                </c:pt>
                <c:pt idx="12">
                  <c:v>4</c:v>
                </c:pt>
                <c:pt idx="13">
                  <c:v>23</c:v>
                </c:pt>
                <c:pt idx="14">
                  <c:v>30</c:v>
                </c:pt>
                <c:pt idx="15">
                  <c:v>28</c:v>
                </c:pt>
                <c:pt idx="16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E8-4382-9194-7BC10C876DDF}"/>
            </c:ext>
          </c:extLst>
        </c:ser>
        <c:ser>
          <c:idx val="1"/>
          <c:order val="1"/>
          <c:tx>
            <c:strRef>
              <c:f>'Graph data Q1'!$K$57</c:f>
              <c:strCache>
                <c:ptCount val="1"/>
                <c:pt idx="0">
                  <c:v>6 -11 months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data Q1'!$I$58:$I$74</c:f>
              <c:strCache>
                <c:ptCount val="17"/>
                <c:pt idx="0">
                  <c:v>Cardiff &amp; Vale UHB, Noah’s Ark / University Hospital Wales</c:v>
                </c:pt>
                <c:pt idx="1">
                  <c:v>Exeter, Royal Devon and Exeter Hospital </c:v>
                </c:pt>
                <c:pt idx="2">
                  <c:v>Plymouth, Derriford Hospital </c:v>
                </c:pt>
                <c:pt idx="3">
                  <c:v>Swindon, Great Weston Hospital </c:v>
                </c:pt>
                <c:pt idx="4">
                  <c:v>Truro, Royal Cornwall Hospital </c:v>
                </c:pt>
                <c:pt idx="5">
                  <c:v>Cwm Taf Morgannwg UHB, Royal Glamorgan Hospital </c:v>
                </c:pt>
                <c:pt idx="6">
                  <c:v>Cwm Taf Morgannwg UHB, Prince Charles Hospital</c:v>
                </c:pt>
                <c:pt idx="7">
                  <c:v>Swansea Bay UHB, Morriston / Singleton Hospitals</c:v>
                </c:pt>
                <c:pt idx="8">
                  <c:v>Bristol, Bristol Heart Institute / Bristol Royal Hospital for Children</c:v>
                </c:pt>
                <c:pt idx="9">
                  <c:v>Hywel Dda UHB, Withybush Hospital</c:v>
                </c:pt>
                <c:pt idx="10">
                  <c:v>Torquay, Torbay General District Hospital </c:v>
                </c:pt>
                <c:pt idx="11">
                  <c:v>Taunton, Musgrove Park Hospital </c:v>
                </c:pt>
                <c:pt idx="12">
                  <c:v>Gloucester, Gloucestershire Hospitals</c:v>
                </c:pt>
                <c:pt idx="13">
                  <c:v>Barnstaple, North Devon District Hospital </c:v>
                </c:pt>
                <c:pt idx="14">
                  <c:v>Hywel Dda UHB, Glangwilli Hospital</c:v>
                </c:pt>
                <c:pt idx="15">
                  <c:v>Aneurin Bevan UHB, Nevill Hall &amp; Royal Gwent Hospitals</c:v>
                </c:pt>
                <c:pt idx="16">
                  <c:v>Cwm Taf Morgannwg UHB, Princess of Wales Hospital</c:v>
                </c:pt>
              </c:strCache>
            </c:strRef>
          </c:cat>
          <c:val>
            <c:numRef>
              <c:f>'Graph data Q1'!$K$58:$K$74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7</c:v>
                </c:pt>
                <c:pt idx="11">
                  <c:v>0</c:v>
                </c:pt>
                <c:pt idx="12">
                  <c:v>31</c:v>
                </c:pt>
                <c:pt idx="13">
                  <c:v>24</c:v>
                </c:pt>
                <c:pt idx="14">
                  <c:v>53</c:v>
                </c:pt>
                <c:pt idx="15">
                  <c:v>53</c:v>
                </c:pt>
                <c:pt idx="16">
                  <c:v>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E8-4382-9194-7BC10C876DDF}"/>
            </c:ext>
          </c:extLst>
        </c:ser>
        <c:ser>
          <c:idx val="2"/>
          <c:order val="2"/>
          <c:tx>
            <c:strRef>
              <c:f>'Graph data Q1'!$L$57</c:f>
              <c:strCache>
                <c:ptCount val="1"/>
                <c:pt idx="0">
                  <c:v>≥12 months</c:v>
                </c:pt>
              </c:strCache>
            </c:strRef>
          </c:tx>
          <c:spPr>
            <a:solidFill>
              <a:srgbClr val="C2307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data Q1'!$I$58:$I$74</c:f>
              <c:strCache>
                <c:ptCount val="17"/>
                <c:pt idx="0">
                  <c:v>Cardiff &amp; Vale UHB, Noah’s Ark / University Hospital Wales</c:v>
                </c:pt>
                <c:pt idx="1">
                  <c:v>Exeter, Royal Devon and Exeter Hospital </c:v>
                </c:pt>
                <c:pt idx="2">
                  <c:v>Plymouth, Derriford Hospital </c:v>
                </c:pt>
                <c:pt idx="3">
                  <c:v>Swindon, Great Weston Hospital </c:v>
                </c:pt>
                <c:pt idx="4">
                  <c:v>Truro, Royal Cornwall Hospital </c:v>
                </c:pt>
                <c:pt idx="5">
                  <c:v>Cwm Taf Morgannwg UHB, Royal Glamorgan Hospital </c:v>
                </c:pt>
                <c:pt idx="6">
                  <c:v>Cwm Taf Morgannwg UHB, Prince Charles Hospital</c:v>
                </c:pt>
                <c:pt idx="7">
                  <c:v>Swansea Bay UHB, Morriston / Singleton Hospitals</c:v>
                </c:pt>
                <c:pt idx="8">
                  <c:v>Bristol, Bristol Heart Institute / Bristol Royal Hospital for Children</c:v>
                </c:pt>
                <c:pt idx="9">
                  <c:v>Hywel Dda UHB, Withybush Hospital</c:v>
                </c:pt>
                <c:pt idx="10">
                  <c:v>Torquay, Torbay General District Hospital </c:v>
                </c:pt>
                <c:pt idx="11">
                  <c:v>Taunton, Musgrove Park Hospital </c:v>
                </c:pt>
                <c:pt idx="12">
                  <c:v>Gloucester, Gloucestershire Hospitals</c:v>
                </c:pt>
                <c:pt idx="13">
                  <c:v>Barnstaple, North Devon District Hospital </c:v>
                </c:pt>
                <c:pt idx="14">
                  <c:v>Hywel Dda UHB, Glangwilli Hospital</c:v>
                </c:pt>
                <c:pt idx="15">
                  <c:v>Aneurin Bevan UHB, Nevill Hall &amp; Royal Gwent Hospitals</c:v>
                </c:pt>
                <c:pt idx="16">
                  <c:v>Cwm Taf Morgannwg UHB, Princess of Wales Hospital</c:v>
                </c:pt>
              </c:strCache>
            </c:strRef>
          </c:cat>
          <c:val>
            <c:numRef>
              <c:f>'Graph data Q1'!$L$58:$L$74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24</c:v>
                </c:pt>
                <c:pt idx="13">
                  <c:v>14</c:v>
                </c:pt>
                <c:pt idx="14">
                  <c:v>53</c:v>
                </c:pt>
                <c:pt idx="15">
                  <c:v>116</c:v>
                </c:pt>
                <c:pt idx="16">
                  <c:v>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E8-4382-9194-7BC10C876DD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238058496"/>
        <c:axId val="238060288"/>
      </c:barChart>
      <c:catAx>
        <c:axId val="23805849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38060288"/>
        <c:crosses val="autoZero"/>
        <c:auto val="1"/>
        <c:lblAlgn val="ctr"/>
        <c:lblOffset val="100"/>
        <c:noMultiLvlLbl val="0"/>
      </c:catAx>
      <c:valAx>
        <c:axId val="238060288"/>
        <c:scaling>
          <c:orientation val="minMax"/>
          <c:max val="600"/>
        </c:scaling>
        <c:delete val="0"/>
        <c:axPos val="b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minorGridlines>
          <c:spPr>
            <a:ln>
              <a:solidFill>
                <a:schemeClr val="bg1">
                  <a:lumMod val="85000"/>
                </a:schemeClr>
              </a:solidFill>
            </a:ln>
          </c:spPr>
        </c:minorGridlines>
        <c:numFmt formatCode="General" sourceLinked="1"/>
        <c:majorTickMark val="out"/>
        <c:minorTickMark val="none"/>
        <c:tickLblPos val="nextTo"/>
        <c:crossAx val="238058496"/>
        <c:crosses val="autoZero"/>
        <c:crossBetween val="between"/>
        <c:majorUnit val="50"/>
        <c:minorUnit val="25"/>
      </c:valAx>
      <c:spPr>
        <a:ln>
          <a:noFill/>
        </a:ln>
      </c:spPr>
    </c:plotArea>
    <c:legend>
      <c:legendPos val="r"/>
      <c:overlay val="1"/>
      <c:spPr>
        <a:ln>
          <a:solidFill>
            <a:schemeClr val="bg1">
              <a:lumMod val="65000"/>
            </a:schemeClr>
          </a:solidFill>
        </a:ln>
      </c:spPr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Adults -  visiting consultant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7885996628506107"/>
          <c:y val="0.10300653246618995"/>
          <c:w val="0.72679126393861659"/>
          <c:h val="0.8126302387996557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'Graph data Q4'!$J$57</c:f>
              <c:strCache>
                <c:ptCount val="1"/>
                <c:pt idx="0">
                  <c:v>3-5 months</c:v>
                </c:pt>
              </c:strCache>
            </c:strRef>
          </c:tx>
          <c:spPr>
            <a:solidFill>
              <a:srgbClr val="7C285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data Q4'!$I$58:$I$74</c:f>
              <c:strCache>
                <c:ptCount val="17"/>
                <c:pt idx="0">
                  <c:v>Aneurin Bevan UHB, Nevill Hall &amp; Royal Gwent Hospitals</c:v>
                </c:pt>
                <c:pt idx="1">
                  <c:v>Cardiff &amp; Vale UHB, Noah’s Ark / University Hospital Wales</c:v>
                </c:pt>
                <c:pt idx="2">
                  <c:v>Cwm Taf Morgannwg UHB, Princess of Wales Hospital</c:v>
                </c:pt>
                <c:pt idx="3">
                  <c:v>Cwm Taf Morgannwg UHB, Royal Glamorgan Hospital </c:v>
                </c:pt>
                <c:pt idx="4">
                  <c:v>Cwm Taf Morgannwg UHB, Prince Charles Hospital</c:v>
                </c:pt>
                <c:pt idx="5">
                  <c:v>Hywel Dda UHB, Glangwilli Hospital</c:v>
                </c:pt>
                <c:pt idx="6">
                  <c:v>Hywel Dda UHB, Withybush Hospital</c:v>
                </c:pt>
                <c:pt idx="7">
                  <c:v>Swansea Bay UHB, Morriston / Singleton Hospitals</c:v>
                </c:pt>
                <c:pt idx="8">
                  <c:v>Barnstaple, North Devon District Hospital </c:v>
                </c:pt>
                <c:pt idx="9">
                  <c:v>Bristol, Bristol Heart Institute / Bristol Royal Hospital for Children</c:v>
                </c:pt>
                <c:pt idx="10">
                  <c:v>Exeter, Royal Devon and Exeter Hospital </c:v>
                </c:pt>
                <c:pt idx="11">
                  <c:v>Gloucester, Gloucestershire Hospitals</c:v>
                </c:pt>
                <c:pt idx="12">
                  <c:v>Plymouth, Derriford Hospital </c:v>
                </c:pt>
                <c:pt idx="13">
                  <c:v>Swindon, Great Weston Hospital </c:v>
                </c:pt>
                <c:pt idx="14">
                  <c:v>Taunton, Musgrove Park Hospital </c:v>
                </c:pt>
                <c:pt idx="15">
                  <c:v>Torquay, Torbay General District Hospital </c:v>
                </c:pt>
                <c:pt idx="16">
                  <c:v>Truro, Royal Cornwall Hospital </c:v>
                </c:pt>
              </c:strCache>
            </c:strRef>
          </c:cat>
          <c:val>
            <c:numRef>
              <c:f>'Graph data Q4'!$J$58:$J$74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E8-4382-9194-7BC10C876DDF}"/>
            </c:ext>
          </c:extLst>
        </c:ser>
        <c:ser>
          <c:idx val="1"/>
          <c:order val="1"/>
          <c:tx>
            <c:strRef>
              <c:f>'Graph data Q4'!$K$57</c:f>
              <c:strCache>
                <c:ptCount val="1"/>
                <c:pt idx="0">
                  <c:v>6 -11 months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data Q4'!$I$58:$I$74</c:f>
              <c:strCache>
                <c:ptCount val="17"/>
                <c:pt idx="0">
                  <c:v>Aneurin Bevan UHB, Nevill Hall &amp; Royal Gwent Hospitals</c:v>
                </c:pt>
                <c:pt idx="1">
                  <c:v>Cardiff &amp; Vale UHB, Noah’s Ark / University Hospital Wales</c:v>
                </c:pt>
                <c:pt idx="2">
                  <c:v>Cwm Taf Morgannwg UHB, Princess of Wales Hospital</c:v>
                </c:pt>
                <c:pt idx="3">
                  <c:v>Cwm Taf Morgannwg UHB, Royal Glamorgan Hospital </c:v>
                </c:pt>
                <c:pt idx="4">
                  <c:v>Cwm Taf Morgannwg UHB, Prince Charles Hospital</c:v>
                </c:pt>
                <c:pt idx="5">
                  <c:v>Hywel Dda UHB, Glangwilli Hospital</c:v>
                </c:pt>
                <c:pt idx="6">
                  <c:v>Hywel Dda UHB, Withybush Hospital</c:v>
                </c:pt>
                <c:pt idx="7">
                  <c:v>Swansea Bay UHB, Morriston / Singleton Hospitals</c:v>
                </c:pt>
                <c:pt idx="8">
                  <c:v>Barnstaple, North Devon District Hospital </c:v>
                </c:pt>
                <c:pt idx="9">
                  <c:v>Bristol, Bristol Heart Institute / Bristol Royal Hospital for Children</c:v>
                </c:pt>
                <c:pt idx="10">
                  <c:v>Exeter, Royal Devon and Exeter Hospital </c:v>
                </c:pt>
                <c:pt idx="11">
                  <c:v>Gloucester, Gloucestershire Hospitals</c:v>
                </c:pt>
                <c:pt idx="12">
                  <c:v>Plymouth, Derriford Hospital </c:v>
                </c:pt>
                <c:pt idx="13">
                  <c:v>Swindon, Great Weston Hospital </c:v>
                </c:pt>
                <c:pt idx="14">
                  <c:v>Taunton, Musgrove Park Hospital </c:v>
                </c:pt>
                <c:pt idx="15">
                  <c:v>Torquay, Torbay General District Hospital </c:v>
                </c:pt>
                <c:pt idx="16">
                  <c:v>Truro, Royal Cornwall Hospital </c:v>
                </c:pt>
              </c:strCache>
            </c:strRef>
          </c:cat>
          <c:val>
            <c:numRef>
              <c:f>'Graph data Q4'!$K$58:$K$74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E8-4382-9194-7BC10C876DDF}"/>
            </c:ext>
          </c:extLst>
        </c:ser>
        <c:ser>
          <c:idx val="2"/>
          <c:order val="2"/>
          <c:tx>
            <c:strRef>
              <c:f>'Graph data Q4'!$L$57</c:f>
              <c:strCache>
                <c:ptCount val="1"/>
                <c:pt idx="0">
                  <c:v>≥12 months</c:v>
                </c:pt>
              </c:strCache>
            </c:strRef>
          </c:tx>
          <c:spPr>
            <a:solidFill>
              <a:srgbClr val="C2307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data Q4'!$I$58:$I$74</c:f>
              <c:strCache>
                <c:ptCount val="17"/>
                <c:pt idx="0">
                  <c:v>Aneurin Bevan UHB, Nevill Hall &amp; Royal Gwent Hospitals</c:v>
                </c:pt>
                <c:pt idx="1">
                  <c:v>Cardiff &amp; Vale UHB, Noah’s Ark / University Hospital Wales</c:v>
                </c:pt>
                <c:pt idx="2">
                  <c:v>Cwm Taf Morgannwg UHB, Princess of Wales Hospital</c:v>
                </c:pt>
                <c:pt idx="3">
                  <c:v>Cwm Taf Morgannwg UHB, Royal Glamorgan Hospital </c:v>
                </c:pt>
                <c:pt idx="4">
                  <c:v>Cwm Taf Morgannwg UHB, Prince Charles Hospital</c:v>
                </c:pt>
                <c:pt idx="5">
                  <c:v>Hywel Dda UHB, Glangwilli Hospital</c:v>
                </c:pt>
                <c:pt idx="6">
                  <c:v>Hywel Dda UHB, Withybush Hospital</c:v>
                </c:pt>
                <c:pt idx="7">
                  <c:v>Swansea Bay UHB, Morriston / Singleton Hospitals</c:v>
                </c:pt>
                <c:pt idx="8">
                  <c:v>Barnstaple, North Devon District Hospital </c:v>
                </c:pt>
                <c:pt idx="9">
                  <c:v>Bristol, Bristol Heart Institute / Bristol Royal Hospital for Children</c:v>
                </c:pt>
                <c:pt idx="10">
                  <c:v>Exeter, Royal Devon and Exeter Hospital </c:v>
                </c:pt>
                <c:pt idx="11">
                  <c:v>Gloucester, Gloucestershire Hospitals</c:v>
                </c:pt>
                <c:pt idx="12">
                  <c:v>Plymouth, Derriford Hospital </c:v>
                </c:pt>
                <c:pt idx="13">
                  <c:v>Swindon, Great Weston Hospital </c:v>
                </c:pt>
                <c:pt idx="14">
                  <c:v>Taunton, Musgrove Park Hospital </c:v>
                </c:pt>
                <c:pt idx="15">
                  <c:v>Torquay, Torbay General District Hospital </c:v>
                </c:pt>
                <c:pt idx="16">
                  <c:v>Truro, Royal Cornwall Hospital </c:v>
                </c:pt>
              </c:strCache>
            </c:strRef>
          </c:cat>
          <c:val>
            <c:numRef>
              <c:f>'Graph data Q4'!$L$58:$L$74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E8-4382-9194-7BC10C876DD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244036736"/>
        <c:axId val="244038272"/>
      </c:barChart>
      <c:catAx>
        <c:axId val="24403673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44038272"/>
        <c:crosses val="autoZero"/>
        <c:auto val="1"/>
        <c:lblAlgn val="ctr"/>
        <c:lblOffset val="100"/>
        <c:noMultiLvlLbl val="0"/>
      </c:catAx>
      <c:valAx>
        <c:axId val="244038272"/>
        <c:scaling>
          <c:orientation val="minMax"/>
          <c:max val="600"/>
        </c:scaling>
        <c:delete val="0"/>
        <c:axPos val="b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minorGridlines>
          <c:spPr>
            <a:ln>
              <a:solidFill>
                <a:schemeClr val="bg1">
                  <a:lumMod val="85000"/>
                </a:schemeClr>
              </a:solidFill>
            </a:ln>
          </c:spPr>
        </c:minorGridlines>
        <c:numFmt formatCode="General" sourceLinked="1"/>
        <c:majorTickMark val="out"/>
        <c:minorTickMark val="none"/>
        <c:tickLblPos val="nextTo"/>
        <c:crossAx val="244036736"/>
        <c:crosses val="autoZero"/>
        <c:crossBetween val="between"/>
        <c:majorUnit val="50"/>
        <c:minorUnit val="25"/>
      </c:valAx>
      <c:spPr>
        <a:ln>
          <a:noFill/>
        </a:ln>
      </c:spPr>
    </c:plotArea>
    <c:legend>
      <c:legendPos val="r"/>
      <c:overlay val="1"/>
      <c:spPr>
        <a:ln>
          <a:solidFill>
            <a:schemeClr val="bg1">
              <a:lumMod val="65000"/>
            </a:schemeClr>
          </a:solidFill>
        </a:ln>
      </c:spPr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Paediatrics -  local consultant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8920097588722171"/>
          <c:y val="0.10895280812244794"/>
          <c:w val="0.78966083264304254"/>
          <c:h val="0.816866998651736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'Graph data Q4'!$C$35</c:f>
              <c:strCache>
                <c:ptCount val="1"/>
                <c:pt idx="0">
                  <c:v>3-5 months</c:v>
                </c:pt>
              </c:strCache>
            </c:strRef>
          </c:tx>
          <c:spPr>
            <a:solidFill>
              <a:srgbClr val="7C285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data Q4'!$B$36:$B$53</c:f>
              <c:strCache>
                <c:ptCount val="18"/>
                <c:pt idx="0">
                  <c:v>Aneurin Bevan UHB, Nevill Hall &amp; Royal Gwent Hospitals</c:v>
                </c:pt>
                <c:pt idx="1">
                  <c:v>Cardiff &amp; Vale UHB, Noah’s Ark / University Hospital Wales</c:v>
                </c:pt>
                <c:pt idx="2">
                  <c:v>Cwm Taf Morgannwg UHB, Princess of Wales Hospital</c:v>
                </c:pt>
                <c:pt idx="3">
                  <c:v>Cwm Taf Morgannwg UHB, Royal Glamorgan Hospital </c:v>
                </c:pt>
                <c:pt idx="4">
                  <c:v>Cwm Taf Morgannwg UHB, Prince Charles Hospital</c:v>
                </c:pt>
                <c:pt idx="5">
                  <c:v>Hywel Dda UHB, Glangwilli Hospital</c:v>
                </c:pt>
                <c:pt idx="6">
                  <c:v>Hywel Dda UHB, Withybush Hospital</c:v>
                </c:pt>
                <c:pt idx="7">
                  <c:v>Swansea Bay UHB, Morriston / Singleton Hospitals</c:v>
                </c:pt>
                <c:pt idx="8">
                  <c:v>Barnstaple, North Devon District Hospital </c:v>
                </c:pt>
                <c:pt idx="9">
                  <c:v>Bath, Royal United Hospital </c:v>
                </c:pt>
                <c:pt idx="10">
                  <c:v>Bristol, Bristol Heart Institute / Bristol Royal Hospital for Children</c:v>
                </c:pt>
                <c:pt idx="11">
                  <c:v>Exeter, Royal Devon and Exeter Hospital </c:v>
                </c:pt>
                <c:pt idx="12">
                  <c:v>Gloucester, Gloucestershire Hospitals</c:v>
                </c:pt>
                <c:pt idx="13">
                  <c:v>Plymouth, Derriford Hospital </c:v>
                </c:pt>
                <c:pt idx="14">
                  <c:v>Swindon, Great Weston Hospital </c:v>
                </c:pt>
                <c:pt idx="15">
                  <c:v>Taunton, Musgrove Park Hospital </c:v>
                </c:pt>
                <c:pt idx="16">
                  <c:v>Torquay, Torbay General District Hospital </c:v>
                </c:pt>
                <c:pt idx="17">
                  <c:v>Truro, Royal Cornwall Hospital </c:v>
                </c:pt>
              </c:strCache>
            </c:strRef>
          </c:cat>
          <c:val>
            <c:numRef>
              <c:f>'Graph data Q4'!$C$36:$C$53</c:f>
              <c:numCache>
                <c:formatCode>General</c:formatCode>
                <c:ptCount val="1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6D-4C88-8458-D673B62A9507}"/>
            </c:ext>
          </c:extLst>
        </c:ser>
        <c:ser>
          <c:idx val="1"/>
          <c:order val="1"/>
          <c:tx>
            <c:strRef>
              <c:f>'Graph data Q4'!$D$35</c:f>
              <c:strCache>
                <c:ptCount val="1"/>
                <c:pt idx="0">
                  <c:v>6 -11 months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data Q4'!$B$36:$B$53</c:f>
              <c:strCache>
                <c:ptCount val="18"/>
                <c:pt idx="0">
                  <c:v>Aneurin Bevan UHB, Nevill Hall &amp; Royal Gwent Hospitals</c:v>
                </c:pt>
                <c:pt idx="1">
                  <c:v>Cardiff &amp; Vale UHB, Noah’s Ark / University Hospital Wales</c:v>
                </c:pt>
                <c:pt idx="2">
                  <c:v>Cwm Taf Morgannwg UHB, Princess of Wales Hospital</c:v>
                </c:pt>
                <c:pt idx="3">
                  <c:v>Cwm Taf Morgannwg UHB, Royal Glamorgan Hospital </c:v>
                </c:pt>
                <c:pt idx="4">
                  <c:v>Cwm Taf Morgannwg UHB, Prince Charles Hospital</c:v>
                </c:pt>
                <c:pt idx="5">
                  <c:v>Hywel Dda UHB, Glangwilli Hospital</c:v>
                </c:pt>
                <c:pt idx="6">
                  <c:v>Hywel Dda UHB, Withybush Hospital</c:v>
                </c:pt>
                <c:pt idx="7">
                  <c:v>Swansea Bay UHB, Morriston / Singleton Hospitals</c:v>
                </c:pt>
                <c:pt idx="8">
                  <c:v>Barnstaple, North Devon District Hospital </c:v>
                </c:pt>
                <c:pt idx="9">
                  <c:v>Bath, Royal United Hospital </c:v>
                </c:pt>
                <c:pt idx="10">
                  <c:v>Bristol, Bristol Heart Institute / Bristol Royal Hospital for Children</c:v>
                </c:pt>
                <c:pt idx="11">
                  <c:v>Exeter, Royal Devon and Exeter Hospital </c:v>
                </c:pt>
                <c:pt idx="12">
                  <c:v>Gloucester, Gloucestershire Hospitals</c:v>
                </c:pt>
                <c:pt idx="13">
                  <c:v>Plymouth, Derriford Hospital </c:v>
                </c:pt>
                <c:pt idx="14">
                  <c:v>Swindon, Great Weston Hospital </c:v>
                </c:pt>
                <c:pt idx="15">
                  <c:v>Taunton, Musgrove Park Hospital </c:v>
                </c:pt>
                <c:pt idx="16">
                  <c:v>Torquay, Torbay General District Hospital </c:v>
                </c:pt>
                <c:pt idx="17">
                  <c:v>Truro, Royal Cornwall Hospital </c:v>
                </c:pt>
              </c:strCache>
            </c:strRef>
          </c:cat>
          <c:val>
            <c:numRef>
              <c:f>'Graph data Q4'!$D$36:$D$53</c:f>
              <c:numCache>
                <c:formatCode>General</c:formatCode>
                <c:ptCount val="1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6D-4C88-8458-D673B62A9507}"/>
            </c:ext>
          </c:extLst>
        </c:ser>
        <c:ser>
          <c:idx val="2"/>
          <c:order val="2"/>
          <c:tx>
            <c:strRef>
              <c:f>'Graph data Q4'!$E$35</c:f>
              <c:strCache>
                <c:ptCount val="1"/>
                <c:pt idx="0">
                  <c:v>≥12 months</c:v>
                </c:pt>
              </c:strCache>
            </c:strRef>
          </c:tx>
          <c:spPr>
            <a:solidFill>
              <a:srgbClr val="C2307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data Q4'!$B$36:$B$53</c:f>
              <c:strCache>
                <c:ptCount val="18"/>
                <c:pt idx="0">
                  <c:v>Aneurin Bevan UHB, Nevill Hall &amp; Royal Gwent Hospitals</c:v>
                </c:pt>
                <c:pt idx="1">
                  <c:v>Cardiff &amp; Vale UHB, Noah’s Ark / University Hospital Wales</c:v>
                </c:pt>
                <c:pt idx="2">
                  <c:v>Cwm Taf Morgannwg UHB, Princess of Wales Hospital</c:v>
                </c:pt>
                <c:pt idx="3">
                  <c:v>Cwm Taf Morgannwg UHB, Royal Glamorgan Hospital </c:v>
                </c:pt>
                <c:pt idx="4">
                  <c:v>Cwm Taf Morgannwg UHB, Prince Charles Hospital</c:v>
                </c:pt>
                <c:pt idx="5">
                  <c:v>Hywel Dda UHB, Glangwilli Hospital</c:v>
                </c:pt>
                <c:pt idx="6">
                  <c:v>Hywel Dda UHB, Withybush Hospital</c:v>
                </c:pt>
                <c:pt idx="7">
                  <c:v>Swansea Bay UHB, Morriston / Singleton Hospitals</c:v>
                </c:pt>
                <c:pt idx="8">
                  <c:v>Barnstaple, North Devon District Hospital </c:v>
                </c:pt>
                <c:pt idx="9">
                  <c:v>Bath, Royal United Hospital </c:v>
                </c:pt>
                <c:pt idx="10">
                  <c:v>Bristol, Bristol Heart Institute / Bristol Royal Hospital for Children</c:v>
                </c:pt>
                <c:pt idx="11">
                  <c:v>Exeter, Royal Devon and Exeter Hospital </c:v>
                </c:pt>
                <c:pt idx="12">
                  <c:v>Gloucester, Gloucestershire Hospitals</c:v>
                </c:pt>
                <c:pt idx="13">
                  <c:v>Plymouth, Derriford Hospital </c:v>
                </c:pt>
                <c:pt idx="14">
                  <c:v>Swindon, Great Weston Hospital </c:v>
                </c:pt>
                <c:pt idx="15">
                  <c:v>Taunton, Musgrove Park Hospital </c:v>
                </c:pt>
                <c:pt idx="16">
                  <c:v>Torquay, Torbay General District Hospital </c:v>
                </c:pt>
                <c:pt idx="17">
                  <c:v>Truro, Royal Cornwall Hospital </c:v>
                </c:pt>
              </c:strCache>
            </c:strRef>
          </c:cat>
          <c:val>
            <c:numRef>
              <c:f>'Graph data Q4'!$E$36:$E$53</c:f>
              <c:numCache>
                <c:formatCode>General</c:formatCode>
                <c:ptCount val="1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6D-4C88-8458-D673B62A950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243776128"/>
        <c:axId val="243786112"/>
      </c:barChart>
      <c:catAx>
        <c:axId val="24377612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43786112"/>
        <c:crosses val="autoZero"/>
        <c:auto val="1"/>
        <c:lblAlgn val="ctr"/>
        <c:lblOffset val="100"/>
        <c:noMultiLvlLbl val="0"/>
      </c:catAx>
      <c:valAx>
        <c:axId val="243786112"/>
        <c:scaling>
          <c:orientation val="minMax"/>
          <c:max val="600"/>
        </c:scaling>
        <c:delete val="0"/>
        <c:axPos val="b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minorGridlines>
          <c:spPr>
            <a:ln>
              <a:solidFill>
                <a:schemeClr val="bg1">
                  <a:lumMod val="85000"/>
                </a:schemeClr>
              </a:solidFill>
            </a:ln>
          </c:spPr>
        </c:minorGridlines>
        <c:numFmt formatCode="General" sourceLinked="1"/>
        <c:majorTickMark val="out"/>
        <c:minorTickMark val="none"/>
        <c:tickLblPos val="nextTo"/>
        <c:crossAx val="243776128"/>
        <c:crosses val="autoZero"/>
        <c:crossBetween val="between"/>
        <c:majorUnit val="50"/>
        <c:minorUnit val="25"/>
      </c:valAx>
    </c:plotArea>
    <c:legend>
      <c:legendPos val="r"/>
      <c:layout>
        <c:manualLayout>
          <c:xMode val="edge"/>
          <c:yMode val="edge"/>
          <c:x val="0.91591820601652907"/>
          <c:y val="0.75285239324796982"/>
          <c:w val="5.9797889184501518E-2"/>
          <c:h val="0.15816115564685013"/>
        </c:manualLayout>
      </c:layout>
      <c:overlay val="1"/>
      <c:spPr>
        <a:solidFill>
          <a:schemeClr val="bg1"/>
        </a:solidFill>
        <a:ln>
          <a:solidFill>
            <a:schemeClr val="bg1">
              <a:lumMod val="65000"/>
            </a:schemeClr>
          </a:solidFill>
        </a:ln>
      </c:spPr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Paediatrics - Visiting consultant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094250294431211"/>
          <c:y val="0.11126584326064609"/>
          <c:w val="0.83853967243667094"/>
          <c:h val="0.7687908005499720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'Graph data Q4'!$C$57</c:f>
              <c:strCache>
                <c:ptCount val="1"/>
                <c:pt idx="0">
                  <c:v>3-5 months</c:v>
                </c:pt>
              </c:strCache>
            </c:strRef>
          </c:tx>
          <c:spPr>
            <a:solidFill>
              <a:srgbClr val="7C285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data Q4'!$B$58:$B$75</c:f>
              <c:strCache>
                <c:ptCount val="18"/>
                <c:pt idx="0">
                  <c:v>Aneurin Bevan UHB, Nevill Hall &amp; Royal Gwent Hospitals</c:v>
                </c:pt>
                <c:pt idx="1">
                  <c:v>Cardiff &amp; Vale UHB, Noah’s Ark / University Hospital Wales</c:v>
                </c:pt>
                <c:pt idx="2">
                  <c:v>Cwm Taf Morgannwg UHB, Princess of Wales Hospital</c:v>
                </c:pt>
                <c:pt idx="3">
                  <c:v>Cwm Taf Morgannwg UHB, Royal Glamorgan Hospital </c:v>
                </c:pt>
                <c:pt idx="4">
                  <c:v>Cwm Taf Morgannwg UHB, Prince Charles Hospital</c:v>
                </c:pt>
                <c:pt idx="5">
                  <c:v>Hywel Dda UHB, Glangwilli Hospital</c:v>
                </c:pt>
                <c:pt idx="6">
                  <c:v>Hywel Dda UHB, Withybush Hospital</c:v>
                </c:pt>
                <c:pt idx="7">
                  <c:v>Swansea Bay UHB, Morriston / Singleton Hospitals</c:v>
                </c:pt>
                <c:pt idx="8">
                  <c:v>Barnstaple, North Devon District Hospital </c:v>
                </c:pt>
                <c:pt idx="9">
                  <c:v>Bath, Royal United Hospital </c:v>
                </c:pt>
                <c:pt idx="10">
                  <c:v>Bristol, Bristol Heart Institute / Bristol Royal Hospital for Children</c:v>
                </c:pt>
                <c:pt idx="11">
                  <c:v>Exeter, Royal Devon and Exeter Hospital </c:v>
                </c:pt>
                <c:pt idx="12">
                  <c:v>Gloucester, Gloucestershire Hospitals</c:v>
                </c:pt>
                <c:pt idx="13">
                  <c:v>Plymouth, Derriford Hospital </c:v>
                </c:pt>
                <c:pt idx="14">
                  <c:v>Swindon, Great Weston Hospital </c:v>
                </c:pt>
                <c:pt idx="15">
                  <c:v>Taunton, Musgrove Park Hospital </c:v>
                </c:pt>
                <c:pt idx="16">
                  <c:v>Torquay, Torbay General District Hospital </c:v>
                </c:pt>
                <c:pt idx="17">
                  <c:v>Truro, Royal Cornwall Hospital </c:v>
                </c:pt>
              </c:strCache>
            </c:strRef>
          </c:cat>
          <c:val>
            <c:numRef>
              <c:f>'Graph data Q4'!$C$58:$C$75</c:f>
              <c:numCache>
                <c:formatCode>0</c:formatCode>
                <c:ptCount val="1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40-4477-B4E3-9142DA587D42}"/>
            </c:ext>
          </c:extLst>
        </c:ser>
        <c:ser>
          <c:idx val="1"/>
          <c:order val="1"/>
          <c:tx>
            <c:strRef>
              <c:f>'Graph data Q4'!$D$57</c:f>
              <c:strCache>
                <c:ptCount val="1"/>
                <c:pt idx="0">
                  <c:v>6 -11 months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data Q4'!$B$58:$B$75</c:f>
              <c:strCache>
                <c:ptCount val="18"/>
                <c:pt idx="0">
                  <c:v>Aneurin Bevan UHB, Nevill Hall &amp; Royal Gwent Hospitals</c:v>
                </c:pt>
                <c:pt idx="1">
                  <c:v>Cardiff &amp; Vale UHB, Noah’s Ark / University Hospital Wales</c:v>
                </c:pt>
                <c:pt idx="2">
                  <c:v>Cwm Taf Morgannwg UHB, Princess of Wales Hospital</c:v>
                </c:pt>
                <c:pt idx="3">
                  <c:v>Cwm Taf Morgannwg UHB, Royal Glamorgan Hospital </c:v>
                </c:pt>
                <c:pt idx="4">
                  <c:v>Cwm Taf Morgannwg UHB, Prince Charles Hospital</c:v>
                </c:pt>
                <c:pt idx="5">
                  <c:v>Hywel Dda UHB, Glangwilli Hospital</c:v>
                </c:pt>
                <c:pt idx="6">
                  <c:v>Hywel Dda UHB, Withybush Hospital</c:v>
                </c:pt>
                <c:pt idx="7">
                  <c:v>Swansea Bay UHB, Morriston / Singleton Hospitals</c:v>
                </c:pt>
                <c:pt idx="8">
                  <c:v>Barnstaple, North Devon District Hospital </c:v>
                </c:pt>
                <c:pt idx="9">
                  <c:v>Bath, Royal United Hospital </c:v>
                </c:pt>
                <c:pt idx="10">
                  <c:v>Bristol, Bristol Heart Institute / Bristol Royal Hospital for Children</c:v>
                </c:pt>
                <c:pt idx="11">
                  <c:v>Exeter, Royal Devon and Exeter Hospital </c:v>
                </c:pt>
                <c:pt idx="12">
                  <c:v>Gloucester, Gloucestershire Hospitals</c:v>
                </c:pt>
                <c:pt idx="13">
                  <c:v>Plymouth, Derriford Hospital </c:v>
                </c:pt>
                <c:pt idx="14">
                  <c:v>Swindon, Great Weston Hospital </c:v>
                </c:pt>
                <c:pt idx="15">
                  <c:v>Taunton, Musgrove Park Hospital </c:v>
                </c:pt>
                <c:pt idx="16">
                  <c:v>Torquay, Torbay General District Hospital </c:v>
                </c:pt>
                <c:pt idx="17">
                  <c:v>Truro, Royal Cornwall Hospital </c:v>
                </c:pt>
              </c:strCache>
            </c:strRef>
          </c:cat>
          <c:val>
            <c:numRef>
              <c:f>'Graph data Q4'!$D$58:$D$75</c:f>
              <c:numCache>
                <c:formatCode>0</c:formatCode>
                <c:ptCount val="1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40-4477-B4E3-9142DA587D42}"/>
            </c:ext>
          </c:extLst>
        </c:ser>
        <c:ser>
          <c:idx val="2"/>
          <c:order val="2"/>
          <c:tx>
            <c:strRef>
              <c:f>'Graph data Q4'!$E$57</c:f>
              <c:strCache>
                <c:ptCount val="1"/>
                <c:pt idx="0">
                  <c:v>≥12 months</c:v>
                </c:pt>
              </c:strCache>
            </c:strRef>
          </c:tx>
          <c:spPr>
            <a:solidFill>
              <a:srgbClr val="C2307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data Q4'!$B$58:$B$75</c:f>
              <c:strCache>
                <c:ptCount val="18"/>
                <c:pt idx="0">
                  <c:v>Aneurin Bevan UHB, Nevill Hall &amp; Royal Gwent Hospitals</c:v>
                </c:pt>
                <c:pt idx="1">
                  <c:v>Cardiff &amp; Vale UHB, Noah’s Ark / University Hospital Wales</c:v>
                </c:pt>
                <c:pt idx="2">
                  <c:v>Cwm Taf Morgannwg UHB, Princess of Wales Hospital</c:v>
                </c:pt>
                <c:pt idx="3">
                  <c:v>Cwm Taf Morgannwg UHB, Royal Glamorgan Hospital </c:v>
                </c:pt>
                <c:pt idx="4">
                  <c:v>Cwm Taf Morgannwg UHB, Prince Charles Hospital</c:v>
                </c:pt>
                <c:pt idx="5">
                  <c:v>Hywel Dda UHB, Glangwilli Hospital</c:v>
                </c:pt>
                <c:pt idx="6">
                  <c:v>Hywel Dda UHB, Withybush Hospital</c:v>
                </c:pt>
                <c:pt idx="7">
                  <c:v>Swansea Bay UHB, Morriston / Singleton Hospitals</c:v>
                </c:pt>
                <c:pt idx="8">
                  <c:v>Barnstaple, North Devon District Hospital </c:v>
                </c:pt>
                <c:pt idx="9">
                  <c:v>Bath, Royal United Hospital </c:v>
                </c:pt>
                <c:pt idx="10">
                  <c:v>Bristol, Bristol Heart Institute / Bristol Royal Hospital for Children</c:v>
                </c:pt>
                <c:pt idx="11">
                  <c:v>Exeter, Royal Devon and Exeter Hospital </c:v>
                </c:pt>
                <c:pt idx="12">
                  <c:v>Gloucester, Gloucestershire Hospitals</c:v>
                </c:pt>
                <c:pt idx="13">
                  <c:v>Plymouth, Derriford Hospital </c:v>
                </c:pt>
                <c:pt idx="14">
                  <c:v>Swindon, Great Weston Hospital </c:v>
                </c:pt>
                <c:pt idx="15">
                  <c:v>Taunton, Musgrove Park Hospital </c:v>
                </c:pt>
                <c:pt idx="16">
                  <c:v>Torquay, Torbay General District Hospital </c:v>
                </c:pt>
                <c:pt idx="17">
                  <c:v>Truro, Royal Cornwall Hospital </c:v>
                </c:pt>
              </c:strCache>
            </c:strRef>
          </c:cat>
          <c:val>
            <c:numRef>
              <c:f>'Graph data Q4'!$E$58:$E$75</c:f>
              <c:numCache>
                <c:formatCode>0</c:formatCode>
                <c:ptCount val="1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40-4477-B4E3-9142DA587D4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243904896"/>
        <c:axId val="243906432"/>
      </c:barChart>
      <c:catAx>
        <c:axId val="24390489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43906432"/>
        <c:crosses val="autoZero"/>
        <c:auto val="1"/>
        <c:lblAlgn val="ctr"/>
        <c:lblOffset val="100"/>
        <c:noMultiLvlLbl val="0"/>
      </c:catAx>
      <c:valAx>
        <c:axId val="243906432"/>
        <c:scaling>
          <c:orientation val="minMax"/>
          <c:max val="600"/>
        </c:scaling>
        <c:delete val="0"/>
        <c:axPos val="b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minorGridlines>
          <c:spPr>
            <a:ln>
              <a:solidFill>
                <a:schemeClr val="bg1">
                  <a:lumMod val="85000"/>
                </a:schemeClr>
              </a:solidFill>
            </a:ln>
          </c:spPr>
        </c:minorGridlines>
        <c:numFmt formatCode="0" sourceLinked="1"/>
        <c:majorTickMark val="out"/>
        <c:minorTickMark val="none"/>
        <c:tickLblPos val="nextTo"/>
        <c:crossAx val="243904896"/>
        <c:crosses val="autoZero"/>
        <c:crossBetween val="between"/>
        <c:majorUnit val="50"/>
        <c:minorUnit val="25"/>
      </c:valAx>
    </c:plotArea>
    <c:legend>
      <c:legendPos val="r"/>
      <c:layout>
        <c:manualLayout>
          <c:xMode val="edge"/>
          <c:yMode val="edge"/>
          <c:x val="0.92479212729892035"/>
          <c:y val="0.70803212978659347"/>
          <c:w val="6.0614386684813587E-2"/>
          <c:h val="0.15529713715363044"/>
        </c:manualLayout>
      </c:layout>
      <c:overlay val="1"/>
      <c:spPr>
        <a:solidFill>
          <a:schemeClr val="bg1"/>
        </a:solidFill>
        <a:ln>
          <a:solidFill>
            <a:schemeClr val="bg1">
              <a:lumMod val="65000"/>
            </a:schemeClr>
          </a:solidFill>
        </a:ln>
      </c:spPr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Paediatrics</a:t>
            </a:r>
            <a:r>
              <a:rPr lang="en-US" baseline="0"/>
              <a:t> DNA rate (%) - </a:t>
            </a:r>
            <a:r>
              <a:rPr lang="en-US"/>
              <a:t>Local consultant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46873633209970839"/>
          <c:y val="0.12550246139575619"/>
          <c:w val="0.5087110185572421"/>
          <c:h val="0.7995948290677772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'Graph data Q4'!$C$80</c:f>
              <c:strCache>
                <c:ptCount val="1"/>
                <c:pt idx="0">
                  <c:v>Local consultant</c:v>
                </c:pt>
              </c:strCache>
            </c:strRef>
          </c:tx>
          <c:spPr>
            <a:solidFill>
              <a:srgbClr val="C2307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data Q4'!$B$81:$B$98</c:f>
              <c:strCache>
                <c:ptCount val="18"/>
                <c:pt idx="0">
                  <c:v>Aneurin Bevan UHB, Nevill Hall &amp; Royal Gwent Hospitals</c:v>
                </c:pt>
                <c:pt idx="1">
                  <c:v>Cardiff &amp; Vale UHB, Noah’s Ark / University Hospital Wales</c:v>
                </c:pt>
                <c:pt idx="2">
                  <c:v>Cwm Taf Morgannwg UHB, Princess of Wales Hospital</c:v>
                </c:pt>
                <c:pt idx="3">
                  <c:v>Cwm Taf Morgannwg UHB, Royal Glamorgan Hospital </c:v>
                </c:pt>
                <c:pt idx="4">
                  <c:v>Cwm Taf Morgannwg UHB, Prince Charles Hospital</c:v>
                </c:pt>
                <c:pt idx="5">
                  <c:v>Hywel Dda UHB, Glangwilli Hospital</c:v>
                </c:pt>
                <c:pt idx="6">
                  <c:v>Hywel Dda UHB, Withybush Hospital</c:v>
                </c:pt>
                <c:pt idx="7">
                  <c:v>Swansea Bay UHB, Morriston / Singleton Hospitals</c:v>
                </c:pt>
                <c:pt idx="8">
                  <c:v>Barnstaple, North Devon District Hospital </c:v>
                </c:pt>
                <c:pt idx="9">
                  <c:v>Bath, Royal United Hospital </c:v>
                </c:pt>
                <c:pt idx="10">
                  <c:v>Bristol, Bristol Heart Institute / Bristol Royal Hospital for Children</c:v>
                </c:pt>
                <c:pt idx="11">
                  <c:v>Exeter, Royal Devon and Exeter Hospital </c:v>
                </c:pt>
                <c:pt idx="12">
                  <c:v>Gloucester, Gloucestershire Hospitals</c:v>
                </c:pt>
                <c:pt idx="13">
                  <c:v>Plymouth, Derriford Hospital </c:v>
                </c:pt>
                <c:pt idx="14">
                  <c:v>Swindon, Great Weston Hospital </c:v>
                </c:pt>
                <c:pt idx="15">
                  <c:v>Taunton, Musgrove Park Hospital </c:v>
                </c:pt>
                <c:pt idx="16">
                  <c:v>Torquay, Torbay General District Hospital </c:v>
                </c:pt>
                <c:pt idx="17">
                  <c:v>Truro, Royal Cornwall Hospital </c:v>
                </c:pt>
              </c:strCache>
            </c:strRef>
          </c:cat>
          <c:val>
            <c:numRef>
              <c:f>'Graph data Q4'!$C$81:$C$98</c:f>
              <c:numCache>
                <c:formatCode>0%</c:formatCode>
                <c:ptCount val="1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FB-40B3-8D30-E30B4D845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44361856"/>
        <c:axId val="244371840"/>
      </c:barChart>
      <c:catAx>
        <c:axId val="24436185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44371840"/>
        <c:crosses val="autoZero"/>
        <c:auto val="1"/>
        <c:lblAlgn val="ctr"/>
        <c:lblOffset val="100"/>
        <c:noMultiLvlLbl val="0"/>
      </c:catAx>
      <c:valAx>
        <c:axId val="244371840"/>
        <c:scaling>
          <c:orientation val="minMax"/>
          <c:max val="0.35000000000000003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crossAx val="2443618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Paediatrics</a:t>
            </a:r>
            <a:r>
              <a:rPr lang="en-US" baseline="0"/>
              <a:t> DNA rate (%) - </a:t>
            </a:r>
            <a:r>
              <a:rPr lang="en-US"/>
              <a:t>Visiting consultant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47370525995635721"/>
          <c:y val="0.11708518652741629"/>
          <c:w val="0.49957174499522033"/>
          <c:h val="0.8130357240909740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'Graph data Q4'!$G$80</c:f>
              <c:strCache>
                <c:ptCount val="1"/>
                <c:pt idx="0">
                  <c:v>Visiting consultant</c:v>
                </c:pt>
              </c:strCache>
            </c:strRef>
          </c:tx>
          <c:spPr>
            <a:solidFill>
              <a:srgbClr val="C2307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data Q4'!$F$81:$F$98</c:f>
              <c:strCache>
                <c:ptCount val="18"/>
                <c:pt idx="0">
                  <c:v>Aneurin Bevan UHB, Nevill Hall &amp; Royal Gwent Hospitals</c:v>
                </c:pt>
                <c:pt idx="1">
                  <c:v>Cardiff &amp; Vale UHB, Noah’s Ark / University Hospital Wales</c:v>
                </c:pt>
                <c:pt idx="2">
                  <c:v>Cwm Taf Morgannwg UHB, Princess of Wales Hospital</c:v>
                </c:pt>
                <c:pt idx="3">
                  <c:v>Cwm Taf Morgannwg UHB, Royal Glamorgan Hospital </c:v>
                </c:pt>
                <c:pt idx="4">
                  <c:v>Cwm Taf Morgannwg UHB, Prince Charles Hospital</c:v>
                </c:pt>
                <c:pt idx="5">
                  <c:v>Hywel Dda UHB, Glangwilli Hospital</c:v>
                </c:pt>
                <c:pt idx="6">
                  <c:v>Hywel Dda UHB, Withybush Hospital</c:v>
                </c:pt>
                <c:pt idx="7">
                  <c:v>Swansea Bay UHB, Morriston / Singleton Hospitals</c:v>
                </c:pt>
                <c:pt idx="8">
                  <c:v>Barnstaple, North Devon District Hospital </c:v>
                </c:pt>
                <c:pt idx="9">
                  <c:v>Bath, Royal United Hospital </c:v>
                </c:pt>
                <c:pt idx="10">
                  <c:v>Bristol, Bristol Heart Institute / Bristol Royal Hospital for Children</c:v>
                </c:pt>
                <c:pt idx="11">
                  <c:v>Exeter, Royal Devon and Exeter Hospital </c:v>
                </c:pt>
                <c:pt idx="12">
                  <c:v>Gloucester, Gloucestershire Hospitals</c:v>
                </c:pt>
                <c:pt idx="13">
                  <c:v>Plymouth, Derriford Hospital </c:v>
                </c:pt>
                <c:pt idx="14">
                  <c:v>Swindon, Great Weston Hospital </c:v>
                </c:pt>
                <c:pt idx="15">
                  <c:v>Taunton, Musgrove Park Hospital </c:v>
                </c:pt>
                <c:pt idx="16">
                  <c:v>Torquay, Torbay General District Hospital </c:v>
                </c:pt>
                <c:pt idx="17">
                  <c:v>Truro, Royal Cornwall Hospital </c:v>
                </c:pt>
              </c:strCache>
            </c:strRef>
          </c:cat>
          <c:val>
            <c:numRef>
              <c:f>'Graph data Q4'!$G$81:$G$98</c:f>
              <c:numCache>
                <c:formatCode>0%</c:formatCode>
                <c:ptCount val="1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D1-4294-A367-10A6E86DD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44462336"/>
        <c:axId val="244463872"/>
      </c:barChart>
      <c:catAx>
        <c:axId val="24446233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44463872"/>
        <c:crosses val="autoZero"/>
        <c:auto val="1"/>
        <c:lblAlgn val="ctr"/>
        <c:lblOffset val="100"/>
        <c:noMultiLvlLbl val="0"/>
      </c:catAx>
      <c:valAx>
        <c:axId val="244463872"/>
        <c:scaling>
          <c:orientation val="minMax"/>
          <c:max val="0.35000000000000003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crossAx val="244462336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Adults</a:t>
            </a:r>
            <a:r>
              <a:rPr lang="en-US" baseline="0"/>
              <a:t> DNA rate (%) -  </a:t>
            </a:r>
            <a:r>
              <a:rPr lang="en-US"/>
              <a:t>Local consultant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44830231038735946"/>
          <c:y val="0.11684074981232774"/>
          <c:w val="0.48900067040474188"/>
          <c:h val="0.7863257183010652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'Graph data Q4'!$K$80</c:f>
              <c:strCache>
                <c:ptCount val="1"/>
                <c:pt idx="0">
                  <c:v>Local consultant</c:v>
                </c:pt>
              </c:strCache>
            </c:strRef>
          </c:tx>
          <c:spPr>
            <a:solidFill>
              <a:srgbClr val="7C285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data Q4'!$J$81:$J$97</c:f>
              <c:strCache>
                <c:ptCount val="17"/>
                <c:pt idx="0">
                  <c:v>Aneurin Bevan UHB, Nevill Hall &amp; Royal Gwent Hospitals</c:v>
                </c:pt>
                <c:pt idx="1">
                  <c:v>Cardiff &amp; Vale UHB, Noah’s Ark / University Hospital Wales</c:v>
                </c:pt>
                <c:pt idx="2">
                  <c:v>Cwm Taf Morgannwg UHB, Princess of Wales Hospital</c:v>
                </c:pt>
                <c:pt idx="3">
                  <c:v>Cwm Taf Morgannwg UHB, Royal Glamorgan Hospital </c:v>
                </c:pt>
                <c:pt idx="4">
                  <c:v>Cwm Taf Morgannwg UHB, Prince Charles Hospital</c:v>
                </c:pt>
                <c:pt idx="5">
                  <c:v>Hywel Dda UHB, Glangwilli Hospital</c:v>
                </c:pt>
                <c:pt idx="6">
                  <c:v>Hywel Dda UHB, Withybush Hospital</c:v>
                </c:pt>
                <c:pt idx="7">
                  <c:v>Swansea Bay UHB, Morriston / Singleton Hospitals</c:v>
                </c:pt>
                <c:pt idx="8">
                  <c:v>Barnstaple, North Devon District Hospital </c:v>
                </c:pt>
                <c:pt idx="9">
                  <c:v>Bristol, Bristol Heart Institute / Bristol Royal Hospital for Children</c:v>
                </c:pt>
                <c:pt idx="10">
                  <c:v>Exeter, Royal Devon and Exeter Hospital </c:v>
                </c:pt>
                <c:pt idx="11">
                  <c:v>Gloucester, Gloucestershire Hospitals</c:v>
                </c:pt>
                <c:pt idx="12">
                  <c:v>Plymouth, Derriford Hospital </c:v>
                </c:pt>
                <c:pt idx="13">
                  <c:v>Swindon, Great Weston Hospital </c:v>
                </c:pt>
                <c:pt idx="14">
                  <c:v>Taunton, Musgrove Park Hospital </c:v>
                </c:pt>
                <c:pt idx="15">
                  <c:v>Torquay, Torbay General District Hospital </c:v>
                </c:pt>
                <c:pt idx="16">
                  <c:v>Truro, Royal Cornwall Hospital </c:v>
                </c:pt>
              </c:strCache>
            </c:strRef>
          </c:cat>
          <c:val>
            <c:numRef>
              <c:f>'Graph data Q4'!$K$81:$K$97</c:f>
              <c:numCache>
                <c:formatCode>0%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3D-4BB3-BFA1-B51EB74D7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44492928"/>
        <c:axId val="244498816"/>
      </c:barChart>
      <c:catAx>
        <c:axId val="24449292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44498816"/>
        <c:crosses val="autoZero"/>
        <c:auto val="1"/>
        <c:lblAlgn val="ctr"/>
        <c:lblOffset val="100"/>
        <c:noMultiLvlLbl val="0"/>
      </c:catAx>
      <c:valAx>
        <c:axId val="244498816"/>
        <c:scaling>
          <c:orientation val="minMax"/>
          <c:max val="0.35000000000000003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crossAx val="244492928"/>
        <c:crosses val="autoZero"/>
        <c:crossBetween val="between"/>
        <c:majorUnit val="5.000000000000001E-2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Adult</a:t>
            </a:r>
            <a:r>
              <a:rPr lang="en-US" baseline="0"/>
              <a:t> DNA rate (%) -  </a:t>
            </a:r>
            <a:r>
              <a:rPr lang="en-US"/>
              <a:t>Visiting consultant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4387732523940443"/>
          <c:y val="0.11659730608107916"/>
          <c:w val="0.47367759417312688"/>
          <c:h val="0.8138147826301874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'Graph data Q4'!$O$80</c:f>
              <c:strCache>
                <c:ptCount val="1"/>
                <c:pt idx="0">
                  <c:v>Visiting consultant</c:v>
                </c:pt>
              </c:strCache>
            </c:strRef>
          </c:tx>
          <c:spPr>
            <a:solidFill>
              <a:srgbClr val="7C285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data Q4'!$N$81:$N$97</c:f>
              <c:strCache>
                <c:ptCount val="17"/>
                <c:pt idx="0">
                  <c:v>Aneurin Bevan UHB, Nevill Hall &amp; Royal Gwent Hospitals</c:v>
                </c:pt>
                <c:pt idx="1">
                  <c:v>Cardiff &amp; Vale UHB, Noah’s Ark / University Hospital Wales</c:v>
                </c:pt>
                <c:pt idx="2">
                  <c:v>Cwm Taf Morgannwg UHB, Princess of Wales Hospital</c:v>
                </c:pt>
                <c:pt idx="3">
                  <c:v>Cwm Taf Morgannwg UHB, Royal Glamorgan Hospital </c:v>
                </c:pt>
                <c:pt idx="4">
                  <c:v>Cwm Taf Morgannwg UHB, Prince Charles Hospital</c:v>
                </c:pt>
                <c:pt idx="5">
                  <c:v>Hywel Dda UHB, Glangwilli Hospital</c:v>
                </c:pt>
                <c:pt idx="6">
                  <c:v>Hywel Dda UHB, Withybush Hospital</c:v>
                </c:pt>
                <c:pt idx="7">
                  <c:v>Swansea Bay UHB, Morriston / Singleton Hospitals</c:v>
                </c:pt>
                <c:pt idx="8">
                  <c:v>Barnstaple, North Devon District Hospital </c:v>
                </c:pt>
                <c:pt idx="9">
                  <c:v>Bristol, Bristol Heart Institute / Bristol Royal Hospital for Children</c:v>
                </c:pt>
                <c:pt idx="10">
                  <c:v>Exeter, Royal Devon and Exeter Hospital </c:v>
                </c:pt>
                <c:pt idx="11">
                  <c:v>Gloucester, Gloucestershire Hospitals</c:v>
                </c:pt>
                <c:pt idx="12">
                  <c:v>Plymouth, Derriford Hospital </c:v>
                </c:pt>
                <c:pt idx="13">
                  <c:v>Swindon, Great Weston Hospital </c:v>
                </c:pt>
                <c:pt idx="14">
                  <c:v>Taunton, Musgrove Park Hospital </c:v>
                </c:pt>
                <c:pt idx="15">
                  <c:v>Torquay, Torbay General District Hospital </c:v>
                </c:pt>
                <c:pt idx="16">
                  <c:v>Truro, Royal Cornwall Hospital </c:v>
                </c:pt>
              </c:strCache>
            </c:strRef>
          </c:cat>
          <c:val>
            <c:numRef>
              <c:f>'Graph data Q4'!$O$81:$O$97</c:f>
              <c:numCache>
                <c:formatCode>0%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7-4A77-B05E-6CE5B2B15EB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244387200"/>
        <c:axId val="244410624"/>
      </c:barChart>
      <c:catAx>
        <c:axId val="24438720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44410624"/>
        <c:crosses val="autoZero"/>
        <c:auto val="1"/>
        <c:lblAlgn val="ctr"/>
        <c:lblOffset val="100"/>
        <c:noMultiLvlLbl val="0"/>
      </c:catAx>
      <c:valAx>
        <c:axId val="244410624"/>
        <c:scaling>
          <c:orientation val="minMax"/>
          <c:max val="0.35000000000000003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crossAx val="244387200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Adults - Range and Median DNA (%) - Year to Date </a:t>
            </a:r>
          </a:p>
        </c:rich>
      </c:tx>
      <c:overlay val="0"/>
    </c:title>
    <c:autoTitleDeleted val="0"/>
    <c:plotArea>
      <c:layout/>
      <c:stockChart>
        <c:ser>
          <c:idx val="1"/>
          <c:order val="0"/>
          <c:tx>
            <c:v>High</c:v>
          </c:tx>
          <c:spPr>
            <a:ln w="28575">
              <a:noFill/>
            </a:ln>
          </c:spPr>
          <c:marker>
            <c:symbol val="none"/>
          </c:marker>
          <c:cat>
            <c:multiLvlStrRef>
              <c:f>'Graph data Q4'!$F$101:$M$102</c:f>
              <c:multiLvlStrCache>
                <c:ptCount val="8"/>
                <c:lvl>
                  <c:pt idx="0">
                    <c:v>Local consultant</c:v>
                  </c:pt>
                  <c:pt idx="1">
                    <c:v>Visiting consultant </c:v>
                  </c:pt>
                  <c:pt idx="2">
                    <c:v>Local consultant</c:v>
                  </c:pt>
                  <c:pt idx="3">
                    <c:v>Visiting consultant </c:v>
                  </c:pt>
                  <c:pt idx="4">
                    <c:v>Local consultant</c:v>
                  </c:pt>
                  <c:pt idx="5">
                    <c:v>Visiting consultant </c:v>
                  </c:pt>
                  <c:pt idx="6">
                    <c:v>Local consultant</c:v>
                  </c:pt>
                  <c:pt idx="7">
                    <c:v>Visiting consultant </c:v>
                  </c:pt>
                </c:lvl>
                <c:lvl>
                  <c:pt idx="0">
                    <c:v>Q1</c:v>
                  </c:pt>
                  <c:pt idx="2">
                    <c:v>Q2</c:v>
                  </c:pt>
                  <c:pt idx="4">
                    <c:v>Q3</c:v>
                  </c:pt>
                  <c:pt idx="6">
                    <c:v>Q4</c:v>
                  </c:pt>
                </c:lvl>
              </c:multiLvlStrCache>
            </c:multiLvlStrRef>
          </c:cat>
          <c:val>
            <c:numRef>
              <c:f>'Graph data Q4'!$F$103:$M$103</c:f>
              <c:numCache>
                <c:formatCode>0%</c:formatCode>
                <c:ptCount val="8"/>
                <c:pt idx="0">
                  <c:v>0.255</c:v>
                </c:pt>
                <c:pt idx="1">
                  <c:v>0.19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9E-44D5-8ECB-90FE6CCC12F0}"/>
            </c:ext>
          </c:extLst>
        </c:ser>
        <c:ser>
          <c:idx val="0"/>
          <c:order val="1"/>
          <c:tx>
            <c:v>Low</c:v>
          </c:tx>
          <c:spPr>
            <a:ln w="28575">
              <a:noFill/>
            </a:ln>
          </c:spPr>
          <c:marker>
            <c:symbol val="none"/>
          </c:marker>
          <c:val>
            <c:numRef>
              <c:f>'Graph data Q4'!$F$104:$M$104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9E-44D5-8ECB-90FE6CCC12F0}"/>
            </c:ext>
          </c:extLst>
        </c:ser>
        <c:ser>
          <c:idx val="2"/>
          <c:order val="2"/>
          <c:tx>
            <c:v>Median</c:v>
          </c:tx>
          <c:spPr>
            <a:ln w="28575">
              <a:noFill/>
            </a:ln>
          </c:spPr>
          <c:marker>
            <c:symbol val="diamond"/>
            <c:size val="10"/>
            <c:spPr>
              <a:solidFill>
                <a:srgbClr val="7C2855"/>
              </a:solidFill>
              <a:ln>
                <a:noFill/>
              </a:ln>
            </c:spPr>
          </c:marker>
          <c:val>
            <c:numRef>
              <c:f>'Graph data Q4'!$F$105:$M$105</c:f>
              <c:numCache>
                <c:formatCode>0%</c:formatCode>
                <c:ptCount val="8"/>
                <c:pt idx="0">
                  <c:v>0.04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9E-44D5-8ECB-90FE6CCC12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8575">
              <a:solidFill>
                <a:srgbClr val="7C2855"/>
              </a:solidFill>
            </a:ln>
          </c:spPr>
        </c:hiLowLines>
        <c:axId val="245694464"/>
        <c:axId val="245696000"/>
      </c:stockChart>
      <c:catAx>
        <c:axId val="2456944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45696000"/>
        <c:crosses val="autoZero"/>
        <c:auto val="1"/>
        <c:lblAlgn val="ctr"/>
        <c:lblOffset val="100"/>
        <c:noMultiLvlLbl val="0"/>
      </c:catAx>
      <c:valAx>
        <c:axId val="245696000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crossAx val="2456944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Paediatrics - Range and Median DNA (%)</a:t>
            </a:r>
            <a:r>
              <a:rPr lang="en-US" baseline="0"/>
              <a:t> -</a:t>
            </a:r>
            <a:r>
              <a:rPr lang="en-US"/>
              <a:t> Year to Date </a:t>
            </a:r>
          </a:p>
        </c:rich>
      </c:tx>
      <c:overlay val="0"/>
    </c:title>
    <c:autoTitleDeleted val="0"/>
    <c:plotArea>
      <c:layout/>
      <c:stockChart>
        <c:ser>
          <c:idx val="0"/>
          <c:order val="0"/>
          <c:tx>
            <c:strRef>
              <c:f>'Graph data Q4'!$E$109</c:f>
              <c:strCache>
                <c:ptCount val="1"/>
                <c:pt idx="0">
                  <c:v>High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multiLvlStrRef>
              <c:f>'Graph data Q4'!$F$107:$M$108</c:f>
              <c:multiLvlStrCache>
                <c:ptCount val="8"/>
                <c:lvl>
                  <c:pt idx="0">
                    <c:v>Local consultant</c:v>
                  </c:pt>
                  <c:pt idx="1">
                    <c:v>Visiting consultant </c:v>
                  </c:pt>
                  <c:pt idx="2">
                    <c:v>Local consultant</c:v>
                  </c:pt>
                  <c:pt idx="3">
                    <c:v>Visiting consultant </c:v>
                  </c:pt>
                  <c:pt idx="4">
                    <c:v>Local consultant</c:v>
                  </c:pt>
                  <c:pt idx="5">
                    <c:v>Visiting consultant </c:v>
                  </c:pt>
                  <c:pt idx="6">
                    <c:v>Local consultant</c:v>
                  </c:pt>
                  <c:pt idx="7">
                    <c:v>Visiting consultant </c:v>
                  </c:pt>
                </c:lvl>
                <c:lvl>
                  <c:pt idx="0">
                    <c:v>Q1</c:v>
                  </c:pt>
                  <c:pt idx="2">
                    <c:v>Q2</c:v>
                  </c:pt>
                  <c:pt idx="4">
                    <c:v>Q3</c:v>
                  </c:pt>
                  <c:pt idx="6">
                    <c:v>Q4</c:v>
                  </c:pt>
                </c:lvl>
              </c:multiLvlStrCache>
            </c:multiLvlStrRef>
          </c:cat>
          <c:val>
            <c:numRef>
              <c:f>'Graph data Q4'!$F$109:$M$109</c:f>
              <c:numCache>
                <c:formatCode>0%</c:formatCode>
                <c:ptCount val="8"/>
                <c:pt idx="0">
                  <c:v>0.3095</c:v>
                </c:pt>
                <c:pt idx="1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E9-42A2-9066-52FF8775658E}"/>
            </c:ext>
          </c:extLst>
        </c:ser>
        <c:ser>
          <c:idx val="1"/>
          <c:order val="1"/>
          <c:tx>
            <c:strRef>
              <c:f>'Graph data Q4'!$E$110</c:f>
              <c:strCache>
                <c:ptCount val="1"/>
                <c:pt idx="0">
                  <c:v>Low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multiLvlStrRef>
              <c:f>'Graph data Q4'!$F$107:$M$108</c:f>
              <c:multiLvlStrCache>
                <c:ptCount val="8"/>
                <c:lvl>
                  <c:pt idx="0">
                    <c:v>Local consultant</c:v>
                  </c:pt>
                  <c:pt idx="1">
                    <c:v>Visiting consultant </c:v>
                  </c:pt>
                  <c:pt idx="2">
                    <c:v>Local consultant</c:v>
                  </c:pt>
                  <c:pt idx="3">
                    <c:v>Visiting consultant </c:v>
                  </c:pt>
                  <c:pt idx="4">
                    <c:v>Local consultant</c:v>
                  </c:pt>
                  <c:pt idx="5">
                    <c:v>Visiting consultant </c:v>
                  </c:pt>
                  <c:pt idx="6">
                    <c:v>Local consultant</c:v>
                  </c:pt>
                  <c:pt idx="7">
                    <c:v>Visiting consultant </c:v>
                  </c:pt>
                </c:lvl>
                <c:lvl>
                  <c:pt idx="0">
                    <c:v>Q1</c:v>
                  </c:pt>
                  <c:pt idx="2">
                    <c:v>Q2</c:v>
                  </c:pt>
                  <c:pt idx="4">
                    <c:v>Q3</c:v>
                  </c:pt>
                  <c:pt idx="6">
                    <c:v>Q4</c:v>
                  </c:pt>
                </c:lvl>
              </c:multiLvlStrCache>
            </c:multiLvlStrRef>
          </c:cat>
          <c:val>
            <c:numRef>
              <c:f>'Graph data Q4'!$F$110:$M$110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E9-42A2-9066-52FF8775658E}"/>
            </c:ext>
          </c:extLst>
        </c:ser>
        <c:ser>
          <c:idx val="2"/>
          <c:order val="2"/>
          <c:tx>
            <c:strRef>
              <c:f>'Graph data Q4'!$E$111</c:f>
              <c:strCache>
                <c:ptCount val="1"/>
                <c:pt idx="0">
                  <c:v>Median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9"/>
            <c:spPr>
              <a:solidFill>
                <a:srgbClr val="C2307C"/>
              </a:solidFill>
              <a:ln>
                <a:noFill/>
              </a:ln>
            </c:spPr>
          </c:marker>
          <c:cat>
            <c:multiLvlStrRef>
              <c:f>'Graph data Q4'!$F$107:$M$108</c:f>
              <c:multiLvlStrCache>
                <c:ptCount val="8"/>
                <c:lvl>
                  <c:pt idx="0">
                    <c:v>Local consultant</c:v>
                  </c:pt>
                  <c:pt idx="1">
                    <c:v>Visiting consultant </c:v>
                  </c:pt>
                  <c:pt idx="2">
                    <c:v>Local consultant</c:v>
                  </c:pt>
                  <c:pt idx="3">
                    <c:v>Visiting consultant </c:v>
                  </c:pt>
                  <c:pt idx="4">
                    <c:v>Local consultant</c:v>
                  </c:pt>
                  <c:pt idx="5">
                    <c:v>Visiting consultant </c:v>
                  </c:pt>
                  <c:pt idx="6">
                    <c:v>Local consultant</c:v>
                  </c:pt>
                  <c:pt idx="7">
                    <c:v>Visiting consultant </c:v>
                  </c:pt>
                </c:lvl>
                <c:lvl>
                  <c:pt idx="0">
                    <c:v>Q1</c:v>
                  </c:pt>
                  <c:pt idx="2">
                    <c:v>Q2</c:v>
                  </c:pt>
                  <c:pt idx="4">
                    <c:v>Q3</c:v>
                  </c:pt>
                  <c:pt idx="6">
                    <c:v>Q4</c:v>
                  </c:pt>
                </c:lvl>
              </c:multiLvlStrCache>
            </c:multiLvlStrRef>
          </c:cat>
          <c:val>
            <c:numRef>
              <c:f>'Graph data Q4'!$F$111:$M$111</c:f>
              <c:numCache>
                <c:formatCode>0%</c:formatCode>
                <c:ptCount val="8"/>
                <c:pt idx="0">
                  <c:v>6.3399999999999998E-2</c:v>
                </c:pt>
                <c:pt idx="1">
                  <c:v>1.6E-2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E9-42A2-9066-52FF87756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8575">
              <a:solidFill>
                <a:srgbClr val="C2307C"/>
              </a:solidFill>
            </a:ln>
          </c:spPr>
        </c:hiLowLines>
        <c:axId val="245730304"/>
        <c:axId val="245732096"/>
      </c:stockChart>
      <c:catAx>
        <c:axId val="2457303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45732096"/>
        <c:crosses val="autoZero"/>
        <c:auto val="1"/>
        <c:lblAlgn val="ctr"/>
        <c:lblOffset val="100"/>
        <c:noMultiLvlLbl val="0"/>
      </c:catAx>
      <c:valAx>
        <c:axId val="24573209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457303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821722585881579E-2"/>
          <c:y val="2.266488276709144E-2"/>
          <c:w val="0.74736520886696389"/>
          <c:h val="0.902862866375686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 data Y2D'!$G$6</c:f>
              <c:strCache>
                <c:ptCount val="1"/>
                <c:pt idx="0">
                  <c:v>Local Consultant</c:v>
                </c:pt>
              </c:strCache>
            </c:strRef>
          </c:tx>
          <c:spPr>
            <a:solidFill>
              <a:srgbClr val="7C2855"/>
            </a:solidFill>
            <a:ln>
              <a:solidFill>
                <a:srgbClr val="7C2855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data Y2D'!$H$5:$K$5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'Graph data Y2D'!$H$6:$K$6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72-4EC0-BBE0-2F886D2F1441}"/>
            </c:ext>
          </c:extLst>
        </c:ser>
        <c:ser>
          <c:idx val="1"/>
          <c:order val="1"/>
          <c:tx>
            <c:strRef>
              <c:f>'Graph data Y2D'!$G$7</c:f>
              <c:strCache>
                <c:ptCount val="1"/>
                <c:pt idx="0">
                  <c:v>Visiting Consultant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data Y2D'!$H$5:$K$5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'Graph data Y2D'!$H$7:$K$7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72-4EC0-BBE0-2F886D2F1441}"/>
            </c:ext>
          </c:extLst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43372416"/>
        <c:axId val="243373952"/>
      </c:barChart>
      <c:catAx>
        <c:axId val="2433724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3373952"/>
        <c:crosses val="autoZero"/>
        <c:auto val="1"/>
        <c:lblAlgn val="ctr"/>
        <c:lblOffset val="100"/>
        <c:noMultiLvlLbl val="0"/>
      </c:catAx>
      <c:valAx>
        <c:axId val="24337395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4337241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Paediatrics -  local consultant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8920097588722171"/>
          <c:y val="0.10895280812244794"/>
          <c:w val="0.78966083264304254"/>
          <c:h val="0.816866998651736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'Graph data Q1'!$C$35</c:f>
              <c:strCache>
                <c:ptCount val="1"/>
                <c:pt idx="0">
                  <c:v>3-5 months</c:v>
                </c:pt>
              </c:strCache>
            </c:strRef>
          </c:tx>
          <c:spPr>
            <a:solidFill>
              <a:srgbClr val="7C285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data Q1'!$B$36:$B$53</c:f>
              <c:strCache>
                <c:ptCount val="18"/>
                <c:pt idx="0">
                  <c:v>Hywel Dda UHB, Glangwilli Hospital</c:v>
                </c:pt>
                <c:pt idx="1">
                  <c:v>Barnstaple, North Devon District Hospital </c:v>
                </c:pt>
                <c:pt idx="2">
                  <c:v>Plymouth, Derriford Hospital </c:v>
                </c:pt>
                <c:pt idx="3">
                  <c:v>Truro, Royal Cornwall Hospital </c:v>
                </c:pt>
                <c:pt idx="4">
                  <c:v>Cwm Taf Morgannwg UHB, Princess of Wales Hospital</c:v>
                </c:pt>
                <c:pt idx="5">
                  <c:v>Hywel Dda UHB, Withybush Hospital</c:v>
                </c:pt>
                <c:pt idx="6">
                  <c:v>Swindon, Great Weston Hospital </c:v>
                </c:pt>
                <c:pt idx="7">
                  <c:v>Cwm Taf Morgannwg UHB, Royal Glamorgan Hospital </c:v>
                </c:pt>
                <c:pt idx="8">
                  <c:v>Bath, Royal United Hospital </c:v>
                </c:pt>
                <c:pt idx="9">
                  <c:v>Cwm Taf Morgannwg UHB, Prince Charles Hospital</c:v>
                </c:pt>
                <c:pt idx="10">
                  <c:v>Swansea Bay UHB, Morriston / Singleton Hospitals</c:v>
                </c:pt>
                <c:pt idx="11">
                  <c:v>Taunton, Musgrove Park Hospital </c:v>
                </c:pt>
                <c:pt idx="12">
                  <c:v>Torquay, Torbay General District Hospital </c:v>
                </c:pt>
                <c:pt idx="13">
                  <c:v>Exeter, Royal Devon and Exeter Hospital </c:v>
                </c:pt>
                <c:pt idx="14">
                  <c:v>Aneurin Bevan UHB, Nevill Hall &amp; Royal Gwent Hospitals</c:v>
                </c:pt>
                <c:pt idx="15">
                  <c:v>Gloucester, Gloucestershire Hospitals</c:v>
                </c:pt>
                <c:pt idx="16">
                  <c:v>Cardiff &amp; Vale UHB, Noah’s Ark / University Hospital Wales</c:v>
                </c:pt>
                <c:pt idx="17">
                  <c:v>Bristol, Bristol Heart Institute / Bristol Royal Hospital for Children</c:v>
                </c:pt>
              </c:strCache>
            </c:strRef>
          </c:cat>
          <c:val>
            <c:numRef>
              <c:f>'Graph data Q1'!$C$36:$C$53</c:f>
              <c:numCache>
                <c:formatCode>General</c:formatCode>
                <c:ptCount val="1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4</c:v>
                </c:pt>
                <c:pt idx="9">
                  <c:v>0</c:v>
                </c:pt>
                <c:pt idx="10">
                  <c:v>12</c:v>
                </c:pt>
                <c:pt idx="11">
                  <c:v>14</c:v>
                </c:pt>
                <c:pt idx="12">
                  <c:v>66</c:v>
                </c:pt>
                <c:pt idx="13">
                  <c:v>50</c:v>
                </c:pt>
                <c:pt idx="14">
                  <c:v>42</c:v>
                </c:pt>
                <c:pt idx="15">
                  <c:v>43</c:v>
                </c:pt>
                <c:pt idx="16">
                  <c:v>159</c:v>
                </c:pt>
                <c:pt idx="17">
                  <c:v>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6D-4C88-8458-D673B62A9507}"/>
            </c:ext>
          </c:extLst>
        </c:ser>
        <c:ser>
          <c:idx val="1"/>
          <c:order val="1"/>
          <c:tx>
            <c:strRef>
              <c:f>'Graph data Q1'!$D$35</c:f>
              <c:strCache>
                <c:ptCount val="1"/>
                <c:pt idx="0">
                  <c:v>6 -11 months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data Q1'!$B$36:$B$53</c:f>
              <c:strCache>
                <c:ptCount val="18"/>
                <c:pt idx="0">
                  <c:v>Hywel Dda UHB, Glangwilli Hospital</c:v>
                </c:pt>
                <c:pt idx="1">
                  <c:v>Barnstaple, North Devon District Hospital </c:v>
                </c:pt>
                <c:pt idx="2">
                  <c:v>Plymouth, Derriford Hospital </c:v>
                </c:pt>
                <c:pt idx="3">
                  <c:v>Truro, Royal Cornwall Hospital </c:v>
                </c:pt>
                <c:pt idx="4">
                  <c:v>Cwm Taf Morgannwg UHB, Princess of Wales Hospital</c:v>
                </c:pt>
                <c:pt idx="5">
                  <c:v>Hywel Dda UHB, Withybush Hospital</c:v>
                </c:pt>
                <c:pt idx="6">
                  <c:v>Swindon, Great Weston Hospital </c:v>
                </c:pt>
                <c:pt idx="7">
                  <c:v>Cwm Taf Morgannwg UHB, Royal Glamorgan Hospital </c:v>
                </c:pt>
                <c:pt idx="8">
                  <c:v>Bath, Royal United Hospital </c:v>
                </c:pt>
                <c:pt idx="9">
                  <c:v>Cwm Taf Morgannwg UHB, Prince Charles Hospital</c:v>
                </c:pt>
                <c:pt idx="10">
                  <c:v>Swansea Bay UHB, Morriston / Singleton Hospitals</c:v>
                </c:pt>
                <c:pt idx="11">
                  <c:v>Taunton, Musgrove Park Hospital </c:v>
                </c:pt>
                <c:pt idx="12">
                  <c:v>Torquay, Torbay General District Hospital </c:v>
                </c:pt>
                <c:pt idx="13">
                  <c:v>Exeter, Royal Devon and Exeter Hospital </c:v>
                </c:pt>
                <c:pt idx="14">
                  <c:v>Aneurin Bevan UHB, Nevill Hall &amp; Royal Gwent Hospitals</c:v>
                </c:pt>
                <c:pt idx="15">
                  <c:v>Gloucester, Gloucestershire Hospitals</c:v>
                </c:pt>
                <c:pt idx="16">
                  <c:v>Cardiff &amp; Vale UHB, Noah’s Ark / University Hospital Wales</c:v>
                </c:pt>
                <c:pt idx="17">
                  <c:v>Bristol, Bristol Heart Institute / Bristol Royal Hospital for Children</c:v>
                </c:pt>
              </c:strCache>
            </c:strRef>
          </c:cat>
          <c:val>
            <c:numRef>
              <c:f>'Graph data Q1'!$D$36:$D$53</c:f>
              <c:numCache>
                <c:formatCode>General</c:formatCode>
                <c:ptCount val="1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11</c:v>
                </c:pt>
                <c:pt idx="10">
                  <c:v>0</c:v>
                </c:pt>
                <c:pt idx="11">
                  <c:v>0</c:v>
                </c:pt>
                <c:pt idx="12">
                  <c:v>20</c:v>
                </c:pt>
                <c:pt idx="13">
                  <c:v>66</c:v>
                </c:pt>
                <c:pt idx="14">
                  <c:v>64</c:v>
                </c:pt>
                <c:pt idx="15">
                  <c:v>68</c:v>
                </c:pt>
                <c:pt idx="16">
                  <c:v>314</c:v>
                </c:pt>
                <c:pt idx="17">
                  <c:v>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6D-4C88-8458-D673B62A9507}"/>
            </c:ext>
          </c:extLst>
        </c:ser>
        <c:ser>
          <c:idx val="2"/>
          <c:order val="2"/>
          <c:tx>
            <c:strRef>
              <c:f>'Graph data Q1'!$E$35</c:f>
              <c:strCache>
                <c:ptCount val="1"/>
                <c:pt idx="0">
                  <c:v>≥12 months</c:v>
                </c:pt>
              </c:strCache>
            </c:strRef>
          </c:tx>
          <c:spPr>
            <a:solidFill>
              <a:srgbClr val="C2307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data Q1'!$B$36:$B$53</c:f>
              <c:strCache>
                <c:ptCount val="18"/>
                <c:pt idx="0">
                  <c:v>Hywel Dda UHB, Glangwilli Hospital</c:v>
                </c:pt>
                <c:pt idx="1">
                  <c:v>Barnstaple, North Devon District Hospital </c:v>
                </c:pt>
                <c:pt idx="2">
                  <c:v>Plymouth, Derriford Hospital </c:v>
                </c:pt>
                <c:pt idx="3">
                  <c:v>Truro, Royal Cornwall Hospital </c:v>
                </c:pt>
                <c:pt idx="4">
                  <c:v>Cwm Taf Morgannwg UHB, Princess of Wales Hospital</c:v>
                </c:pt>
                <c:pt idx="5">
                  <c:v>Hywel Dda UHB, Withybush Hospital</c:v>
                </c:pt>
                <c:pt idx="6">
                  <c:v>Swindon, Great Weston Hospital </c:v>
                </c:pt>
                <c:pt idx="7">
                  <c:v>Cwm Taf Morgannwg UHB, Royal Glamorgan Hospital </c:v>
                </c:pt>
                <c:pt idx="8">
                  <c:v>Bath, Royal United Hospital </c:v>
                </c:pt>
                <c:pt idx="9">
                  <c:v>Cwm Taf Morgannwg UHB, Prince Charles Hospital</c:v>
                </c:pt>
                <c:pt idx="10">
                  <c:v>Swansea Bay UHB, Morriston / Singleton Hospitals</c:v>
                </c:pt>
                <c:pt idx="11">
                  <c:v>Taunton, Musgrove Park Hospital </c:v>
                </c:pt>
                <c:pt idx="12">
                  <c:v>Torquay, Torbay General District Hospital </c:v>
                </c:pt>
                <c:pt idx="13">
                  <c:v>Exeter, Royal Devon and Exeter Hospital </c:v>
                </c:pt>
                <c:pt idx="14">
                  <c:v>Aneurin Bevan UHB, Nevill Hall &amp; Royal Gwent Hospitals</c:v>
                </c:pt>
                <c:pt idx="15">
                  <c:v>Gloucester, Gloucestershire Hospitals</c:v>
                </c:pt>
                <c:pt idx="16">
                  <c:v>Cardiff &amp; Vale UHB, Noah’s Ark / University Hospital Wales</c:v>
                </c:pt>
                <c:pt idx="17">
                  <c:v>Bristol, Bristol Heart Institute / Bristol Royal Hospital for Children</c:v>
                </c:pt>
              </c:strCache>
            </c:strRef>
          </c:cat>
          <c:val>
            <c:numRef>
              <c:f>'Graph data Q1'!$E$36:$E$53</c:f>
              <c:numCache>
                <c:formatCode>General</c:formatCode>
                <c:ptCount val="1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11</c:v>
                </c:pt>
                <c:pt idx="14">
                  <c:v>38</c:v>
                </c:pt>
                <c:pt idx="15">
                  <c:v>140</c:v>
                </c:pt>
                <c:pt idx="16">
                  <c:v>156</c:v>
                </c:pt>
                <c:pt idx="17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6D-4C88-8458-D673B62A950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238174976"/>
        <c:axId val="238176512"/>
      </c:barChart>
      <c:catAx>
        <c:axId val="23817497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38176512"/>
        <c:crosses val="autoZero"/>
        <c:auto val="1"/>
        <c:lblAlgn val="ctr"/>
        <c:lblOffset val="100"/>
        <c:noMultiLvlLbl val="0"/>
      </c:catAx>
      <c:valAx>
        <c:axId val="238176512"/>
        <c:scaling>
          <c:orientation val="minMax"/>
          <c:max val="600"/>
        </c:scaling>
        <c:delete val="0"/>
        <c:axPos val="b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minorGridlines>
          <c:spPr>
            <a:ln>
              <a:solidFill>
                <a:schemeClr val="bg1">
                  <a:lumMod val="85000"/>
                </a:schemeClr>
              </a:solidFill>
            </a:ln>
          </c:spPr>
        </c:minorGridlines>
        <c:numFmt formatCode="General" sourceLinked="1"/>
        <c:majorTickMark val="out"/>
        <c:minorTickMark val="none"/>
        <c:tickLblPos val="nextTo"/>
        <c:crossAx val="238174976"/>
        <c:crosses val="autoZero"/>
        <c:crossBetween val="between"/>
        <c:majorUnit val="50"/>
        <c:minorUnit val="25"/>
      </c:valAx>
    </c:plotArea>
    <c:legend>
      <c:legendPos val="r"/>
      <c:layout>
        <c:manualLayout>
          <c:xMode val="edge"/>
          <c:yMode val="edge"/>
          <c:x val="0.91591820601652907"/>
          <c:y val="0.75285239324796982"/>
          <c:w val="5.9797889184501518E-2"/>
          <c:h val="0.15816115564685013"/>
        </c:manualLayout>
      </c:layout>
      <c:overlay val="1"/>
      <c:spPr>
        <a:solidFill>
          <a:schemeClr val="bg1"/>
        </a:solidFill>
        <a:ln>
          <a:solidFill>
            <a:schemeClr val="bg1">
              <a:lumMod val="65000"/>
            </a:schemeClr>
          </a:solidFill>
        </a:ln>
      </c:spPr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Local Consultant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'Graph data Y2D'!$G$11</c:f>
              <c:strCache>
                <c:ptCount val="1"/>
                <c:pt idx="0">
                  <c:v>3 to 5 months</c:v>
                </c:pt>
              </c:strCache>
            </c:strRef>
          </c:tx>
          <c:spPr>
            <a:solidFill>
              <a:srgbClr val="7C285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data Y2D'!$H$10:$K$10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'Graph data Y2D'!$H$11:$K$11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FF-4C10-9CF0-6A98D86F2F29}"/>
            </c:ext>
          </c:extLst>
        </c:ser>
        <c:ser>
          <c:idx val="1"/>
          <c:order val="1"/>
          <c:tx>
            <c:strRef>
              <c:f>'Graph data Y2D'!$G$12</c:f>
              <c:strCache>
                <c:ptCount val="1"/>
                <c:pt idx="0">
                  <c:v>6 to 11 months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data Y2D'!$H$10:$K$10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'Graph data Y2D'!$H$12:$K$12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FF-4C10-9CF0-6A98D86F2F29}"/>
            </c:ext>
          </c:extLst>
        </c:ser>
        <c:ser>
          <c:idx val="2"/>
          <c:order val="2"/>
          <c:tx>
            <c:strRef>
              <c:f>'Graph data Y2D'!$G$13</c:f>
              <c:strCache>
                <c:ptCount val="1"/>
                <c:pt idx="0">
                  <c:v>≥12 months</c:v>
                </c:pt>
              </c:strCache>
            </c:strRef>
          </c:tx>
          <c:spPr>
            <a:solidFill>
              <a:srgbClr val="C2307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data Y2D'!$H$10:$K$10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'Graph data Y2D'!$H$13:$K$13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FF-4C10-9CF0-6A98D86F2F2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45794688"/>
        <c:axId val="245796224"/>
      </c:barChart>
      <c:catAx>
        <c:axId val="2457946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5796224"/>
        <c:crosses val="autoZero"/>
        <c:auto val="1"/>
        <c:lblAlgn val="ctr"/>
        <c:lblOffset val="100"/>
        <c:noMultiLvlLbl val="0"/>
      </c:catAx>
      <c:valAx>
        <c:axId val="24579622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457946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Visiting Consultant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'Graph data Y2D'!$G$17</c:f>
              <c:strCache>
                <c:ptCount val="1"/>
                <c:pt idx="0">
                  <c:v>3 to 5 months</c:v>
                </c:pt>
              </c:strCache>
            </c:strRef>
          </c:tx>
          <c:spPr>
            <a:solidFill>
              <a:srgbClr val="7C285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data Y2D'!$H$16:$K$16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'Graph data Y2D'!$H$17:$K$17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3F-41A8-A80B-D22D32148C01}"/>
            </c:ext>
          </c:extLst>
        </c:ser>
        <c:ser>
          <c:idx val="1"/>
          <c:order val="1"/>
          <c:tx>
            <c:strRef>
              <c:f>'Graph data Y2D'!$G$18</c:f>
              <c:strCache>
                <c:ptCount val="1"/>
                <c:pt idx="0">
                  <c:v>6 to 11 months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data Y2D'!$H$16:$K$16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'Graph data Y2D'!$H$18:$K$18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3F-41A8-A80B-D22D32148C01}"/>
            </c:ext>
          </c:extLst>
        </c:ser>
        <c:ser>
          <c:idx val="2"/>
          <c:order val="2"/>
          <c:tx>
            <c:strRef>
              <c:f>'Graph data Y2D'!$G$19</c:f>
              <c:strCache>
                <c:ptCount val="1"/>
                <c:pt idx="0">
                  <c:v>≥12 months</c:v>
                </c:pt>
              </c:strCache>
            </c:strRef>
          </c:tx>
          <c:spPr>
            <a:solidFill>
              <a:srgbClr val="C2307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data Y2D'!$H$16:$K$16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'Graph data Y2D'!$H$19:$K$19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3F-41A8-A80B-D22D32148C0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43494272"/>
        <c:axId val="243512448"/>
      </c:barChart>
      <c:catAx>
        <c:axId val="2434942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3512448"/>
        <c:crosses val="autoZero"/>
        <c:auto val="1"/>
        <c:lblAlgn val="ctr"/>
        <c:lblOffset val="100"/>
        <c:noMultiLvlLbl val="0"/>
      </c:catAx>
      <c:valAx>
        <c:axId val="24351244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434942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'Graph data Y2D'!$G$23</c:f>
              <c:strCache>
                <c:ptCount val="1"/>
                <c:pt idx="0">
                  <c:v>Local Consultant</c:v>
                </c:pt>
              </c:strCache>
            </c:strRef>
          </c:tx>
          <c:spPr>
            <a:solidFill>
              <a:srgbClr val="7C2855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data Y2D'!$H$22:$K$22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'Graph data Y2D'!$H$23:$K$23</c:f>
              <c:numCache>
                <c:formatCode>General</c:formatCode>
                <c:ptCount val="4"/>
                <c:pt idx="0" formatCode="0%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86-4CA2-9979-8D6CF71364C9}"/>
            </c:ext>
          </c:extLst>
        </c:ser>
        <c:ser>
          <c:idx val="1"/>
          <c:order val="1"/>
          <c:tx>
            <c:strRef>
              <c:f>'Graph data Y2D'!$G$24</c:f>
              <c:strCache>
                <c:ptCount val="1"/>
                <c:pt idx="0">
                  <c:v>Visiting Consultant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data Y2D'!$H$22:$K$22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'Graph data Y2D'!$H$24:$K$24</c:f>
              <c:numCache>
                <c:formatCode>General</c:formatCode>
                <c:ptCount val="4"/>
                <c:pt idx="0" formatCode="0%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86-4CA2-9979-8D6CF71364C9}"/>
            </c:ext>
          </c:extLst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44075520"/>
        <c:axId val="244077312"/>
      </c:barChart>
      <c:catAx>
        <c:axId val="2440755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4077312"/>
        <c:crosses val="autoZero"/>
        <c:auto val="1"/>
        <c:lblAlgn val="ctr"/>
        <c:lblOffset val="100"/>
        <c:noMultiLvlLbl val="0"/>
      </c:catAx>
      <c:valAx>
        <c:axId val="244077312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24407552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'Graph data Y2D'!$A$6</c:f>
              <c:strCache>
                <c:ptCount val="1"/>
                <c:pt idx="0">
                  <c:v>Local Consultant</c:v>
                </c:pt>
              </c:strCache>
            </c:strRef>
          </c:tx>
          <c:spPr>
            <a:solidFill>
              <a:srgbClr val="7C2855"/>
            </a:solidFill>
            <a:ln>
              <a:solidFill>
                <a:srgbClr val="7C2855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data Y2D'!$B$5:$E$5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'Graph data Y2D'!$B$6:$E$6</c:f>
              <c:numCache>
                <c:formatCode>0</c:formatCode>
                <c:ptCount val="4"/>
                <c:pt idx="0" formatCode="General">
                  <c:v>0</c:v>
                </c:pt>
                <c:pt idx="1">
                  <c:v>7</c:v>
                </c:pt>
                <c:pt idx="2" formatCode="General">
                  <c:v>0</c:v>
                </c:pt>
                <c:pt idx="3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D6-488E-B6A0-BF0F84CB1F39}"/>
            </c:ext>
          </c:extLst>
        </c:ser>
        <c:ser>
          <c:idx val="1"/>
          <c:order val="1"/>
          <c:tx>
            <c:strRef>
              <c:f>'Graph data Y2D'!$A$7</c:f>
              <c:strCache>
                <c:ptCount val="1"/>
                <c:pt idx="0">
                  <c:v>Visiting Consultant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data Y2D'!$B$5:$E$5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'Graph data Y2D'!$B$7:$E$7</c:f>
              <c:numCache>
                <c:formatCode>0</c:formatCode>
                <c:ptCount val="4"/>
                <c:pt idx="0" formatCode="General">
                  <c:v>0</c:v>
                </c:pt>
                <c:pt idx="1">
                  <c:v>10</c:v>
                </c:pt>
                <c:pt idx="2" formatCode="General">
                  <c:v>0</c:v>
                </c:pt>
                <c:pt idx="3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D6-488E-B6A0-BF0F84CB1F3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44161920"/>
        <c:axId val="244171904"/>
      </c:barChart>
      <c:catAx>
        <c:axId val="2441619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4171904"/>
        <c:crosses val="autoZero"/>
        <c:auto val="1"/>
        <c:lblAlgn val="ctr"/>
        <c:lblOffset val="100"/>
        <c:noMultiLvlLbl val="0"/>
      </c:catAx>
      <c:valAx>
        <c:axId val="2441719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416192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Local Consultant 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'Graph data Y2D'!$A$11</c:f>
              <c:strCache>
                <c:ptCount val="1"/>
                <c:pt idx="0">
                  <c:v>3 to 5 months</c:v>
                </c:pt>
              </c:strCache>
            </c:strRef>
          </c:tx>
          <c:spPr>
            <a:solidFill>
              <a:srgbClr val="7C285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data Y2D'!$B$10:$E$10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'Graph data Y2D'!$B$11:$E$11</c:f>
              <c:numCache>
                <c:formatCode>0</c:formatCode>
                <c:ptCount val="4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3A-4CD0-88D3-27AEC8049EB3}"/>
            </c:ext>
          </c:extLst>
        </c:ser>
        <c:ser>
          <c:idx val="1"/>
          <c:order val="1"/>
          <c:tx>
            <c:strRef>
              <c:f>'Graph data Y2D'!$A$12</c:f>
              <c:strCache>
                <c:ptCount val="1"/>
                <c:pt idx="0">
                  <c:v>6 to 11 months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data Y2D'!$B$10:$E$10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'Graph data Y2D'!$B$12:$E$12</c:f>
              <c:numCache>
                <c:formatCode>0</c:formatCode>
                <c:ptCount val="4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3A-4CD0-88D3-27AEC8049EB3}"/>
            </c:ext>
          </c:extLst>
        </c:ser>
        <c:ser>
          <c:idx val="2"/>
          <c:order val="2"/>
          <c:tx>
            <c:strRef>
              <c:f>'Graph data Y2D'!$A$13</c:f>
              <c:strCache>
                <c:ptCount val="1"/>
                <c:pt idx="0">
                  <c:v>≥12 months</c:v>
                </c:pt>
              </c:strCache>
            </c:strRef>
          </c:tx>
          <c:spPr>
            <a:solidFill>
              <a:srgbClr val="C2307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data Y2D'!$B$10:$E$10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'Graph data Y2D'!$B$13:$E$13</c:f>
              <c:numCache>
                <c:formatCode>0</c:formatCode>
                <c:ptCount val="4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3A-4CD0-88D3-27AEC8049EB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46022912"/>
        <c:axId val="246024448"/>
      </c:barChart>
      <c:catAx>
        <c:axId val="2460229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6024448"/>
        <c:crosses val="autoZero"/>
        <c:auto val="1"/>
        <c:lblAlgn val="ctr"/>
        <c:lblOffset val="100"/>
        <c:noMultiLvlLbl val="0"/>
      </c:catAx>
      <c:valAx>
        <c:axId val="2460244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60229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GB" sz="1100"/>
              <a:t>Visiting Consultant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441405094641456"/>
          <c:y val="0.13516938131102138"/>
          <c:w val="0.83477363091959866"/>
          <c:h val="0.7472169385670340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'Graph data Y2D'!$A$17</c:f>
              <c:strCache>
                <c:ptCount val="1"/>
                <c:pt idx="0">
                  <c:v>3 to 5 months</c:v>
                </c:pt>
              </c:strCache>
            </c:strRef>
          </c:tx>
          <c:spPr>
            <a:solidFill>
              <a:srgbClr val="7C285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data Y2D'!$B$16:$E$16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'Graph data Y2D'!$B$17:$E$17</c:f>
              <c:numCache>
                <c:formatCode>General</c:formatCode>
                <c:ptCount val="4"/>
                <c:pt idx="0">
                  <c:v>0</c:v>
                </c:pt>
                <c:pt idx="1">
                  <c:v>6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84-4F13-A23D-5E8ECF9A0B72}"/>
            </c:ext>
          </c:extLst>
        </c:ser>
        <c:ser>
          <c:idx val="1"/>
          <c:order val="1"/>
          <c:tx>
            <c:strRef>
              <c:f>'Graph data Y2D'!$A$18</c:f>
              <c:strCache>
                <c:ptCount val="1"/>
                <c:pt idx="0">
                  <c:v>6 to 11 months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data Y2D'!$B$16:$E$16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'Graph data Y2D'!$B$18:$E$18</c:f>
              <c:numCache>
                <c:formatCode>General</c:formatCode>
                <c:ptCount val="4"/>
                <c:pt idx="0">
                  <c:v>0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84-4F13-A23D-5E8ECF9A0B72}"/>
            </c:ext>
          </c:extLst>
        </c:ser>
        <c:ser>
          <c:idx val="2"/>
          <c:order val="2"/>
          <c:tx>
            <c:strRef>
              <c:f>'Graph data Y2D'!$A$19</c:f>
              <c:strCache>
                <c:ptCount val="1"/>
                <c:pt idx="0">
                  <c:v>≥12 months</c:v>
                </c:pt>
              </c:strCache>
            </c:strRef>
          </c:tx>
          <c:spPr>
            <a:solidFill>
              <a:srgbClr val="C2307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data Y2D'!$B$16:$E$16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'Graph data Y2D'!$B$19:$E$19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84-4F13-A23D-5E8ECF9A0B7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46069504"/>
        <c:axId val="246075392"/>
      </c:barChart>
      <c:catAx>
        <c:axId val="2460695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6075392"/>
        <c:crosses val="autoZero"/>
        <c:auto val="1"/>
        <c:lblAlgn val="ctr"/>
        <c:lblOffset val="100"/>
        <c:noMultiLvlLbl val="0"/>
      </c:catAx>
      <c:valAx>
        <c:axId val="2460753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60695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'Graph data Y2D'!$A$23</c:f>
              <c:strCache>
                <c:ptCount val="1"/>
                <c:pt idx="0">
                  <c:v>Local Consultant</c:v>
                </c:pt>
              </c:strCache>
            </c:strRef>
          </c:tx>
          <c:spPr>
            <a:solidFill>
              <a:srgbClr val="7C2855"/>
            </a:solidFill>
            <a:ln>
              <a:solidFill>
                <a:srgbClr val="7C2855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data Y2D'!$B$22:$E$22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'Graph data Y2D'!$B$23:$E$23</c:f>
              <c:numCache>
                <c:formatCode>0%</c:formatCode>
                <c:ptCount val="4"/>
                <c:pt idx="0">
                  <c:v>0</c:v>
                </c:pt>
                <c:pt idx="1">
                  <c:v>0.1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F5-4F64-BD18-F0FD135EEA9E}"/>
            </c:ext>
          </c:extLst>
        </c:ser>
        <c:ser>
          <c:idx val="1"/>
          <c:order val="1"/>
          <c:tx>
            <c:strRef>
              <c:f>'Graph data Y2D'!$A$24</c:f>
              <c:strCache>
                <c:ptCount val="1"/>
                <c:pt idx="0">
                  <c:v>Visiting Consultant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data Y2D'!$B$22:$E$22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'Graph data Y2D'!$B$24:$E$24</c:f>
              <c:numCache>
                <c:formatCode>0%</c:formatCode>
                <c:ptCount val="4"/>
                <c:pt idx="0">
                  <c:v>0</c:v>
                </c:pt>
                <c:pt idx="1">
                  <c:v>7.0000000000000007E-2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F5-4F64-BD18-F0FD135EE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5913472"/>
        <c:axId val="245915008"/>
      </c:barChart>
      <c:catAx>
        <c:axId val="245913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5915008"/>
        <c:crosses val="autoZero"/>
        <c:auto val="1"/>
        <c:lblAlgn val="ctr"/>
        <c:lblOffset val="100"/>
        <c:noMultiLvlLbl val="0"/>
      </c:catAx>
      <c:valAx>
        <c:axId val="24591500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459134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Paediatrics - Visiting consultant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094250294431211"/>
          <c:y val="0.11126584326064609"/>
          <c:w val="0.83853967243667094"/>
          <c:h val="0.7687908005499720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'Graph data Q1'!$C$57</c:f>
              <c:strCache>
                <c:ptCount val="1"/>
                <c:pt idx="0">
                  <c:v>3-5 months</c:v>
                </c:pt>
              </c:strCache>
            </c:strRef>
          </c:tx>
          <c:spPr>
            <a:solidFill>
              <a:srgbClr val="7C285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data Q1'!$B$58:$B$75</c:f>
              <c:strCache>
                <c:ptCount val="18"/>
                <c:pt idx="0">
                  <c:v>Hywel Dda UHB, Glangwilli Hospital</c:v>
                </c:pt>
                <c:pt idx="1">
                  <c:v>Barnstaple, North Devon District Hospital </c:v>
                </c:pt>
                <c:pt idx="2">
                  <c:v>Plymouth, Derriford Hospital </c:v>
                </c:pt>
                <c:pt idx="3">
                  <c:v>Truro, Royal Cornwall Hospital </c:v>
                </c:pt>
                <c:pt idx="4">
                  <c:v>Bristol, Bristol Heart Institute / Bristol Royal Hospital for Children</c:v>
                </c:pt>
                <c:pt idx="5">
                  <c:v>Cardiff &amp; Vale UHB, Noah’s Ark / University Hospital Wales</c:v>
                </c:pt>
                <c:pt idx="6">
                  <c:v>Bath, Royal United Hospital </c:v>
                </c:pt>
                <c:pt idx="7">
                  <c:v>Swindon, Great Weston Hospital </c:v>
                </c:pt>
                <c:pt idx="8">
                  <c:v>Cwm Taf Morgannwg UHB, Royal Glamorgan Hospital </c:v>
                </c:pt>
                <c:pt idx="9">
                  <c:v>Hywel Dda UHB, Withybush Hospital</c:v>
                </c:pt>
                <c:pt idx="10">
                  <c:v>Cwm Taf Morgannwg UHB, Prince Charles Hospital</c:v>
                </c:pt>
                <c:pt idx="11">
                  <c:v>Cwm Taf Morgannwg UHB, Princess of Wales Hospital</c:v>
                </c:pt>
                <c:pt idx="12">
                  <c:v>Taunton, Musgrove Park Hospital </c:v>
                </c:pt>
                <c:pt idx="13">
                  <c:v>Gloucester, Gloucestershire Hospitals</c:v>
                </c:pt>
                <c:pt idx="14">
                  <c:v>Swansea Bay UHB, Morriston / Singleton Hospitals</c:v>
                </c:pt>
                <c:pt idx="15">
                  <c:v>Exeter, Royal Devon and Exeter Hospital </c:v>
                </c:pt>
                <c:pt idx="16">
                  <c:v>Torquay, Torbay General District Hospital </c:v>
                </c:pt>
                <c:pt idx="17">
                  <c:v>Aneurin Bevan UHB, Nevill Hall &amp; Royal Gwent Hospitals</c:v>
                </c:pt>
              </c:strCache>
            </c:strRef>
          </c:cat>
          <c:val>
            <c:numRef>
              <c:f>'Graph data Q1'!$C$58:$C$75</c:f>
              <c:numCache>
                <c:formatCode>0</c:formatCode>
                <c:ptCount val="1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5</c:v>
                </c:pt>
                <c:pt idx="9">
                  <c:v>11</c:v>
                </c:pt>
                <c:pt idx="10">
                  <c:v>8</c:v>
                </c:pt>
                <c:pt idx="11">
                  <c:v>45</c:v>
                </c:pt>
                <c:pt idx="12">
                  <c:v>28</c:v>
                </c:pt>
                <c:pt idx="13">
                  <c:v>14</c:v>
                </c:pt>
                <c:pt idx="14">
                  <c:v>70</c:v>
                </c:pt>
                <c:pt idx="15">
                  <c:v>44</c:v>
                </c:pt>
                <c:pt idx="16">
                  <c:v>30</c:v>
                </c:pt>
                <c:pt idx="17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40-4477-B4E3-9142DA587D42}"/>
            </c:ext>
          </c:extLst>
        </c:ser>
        <c:ser>
          <c:idx val="1"/>
          <c:order val="1"/>
          <c:tx>
            <c:strRef>
              <c:f>'Graph data Q1'!$D$57</c:f>
              <c:strCache>
                <c:ptCount val="1"/>
                <c:pt idx="0">
                  <c:v>6 -11 months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data Q1'!$B$58:$B$75</c:f>
              <c:strCache>
                <c:ptCount val="18"/>
                <c:pt idx="0">
                  <c:v>Hywel Dda UHB, Glangwilli Hospital</c:v>
                </c:pt>
                <c:pt idx="1">
                  <c:v>Barnstaple, North Devon District Hospital </c:v>
                </c:pt>
                <c:pt idx="2">
                  <c:v>Plymouth, Derriford Hospital </c:v>
                </c:pt>
                <c:pt idx="3">
                  <c:v>Truro, Royal Cornwall Hospital </c:v>
                </c:pt>
                <c:pt idx="4">
                  <c:v>Bristol, Bristol Heart Institute / Bristol Royal Hospital for Children</c:v>
                </c:pt>
                <c:pt idx="5">
                  <c:v>Cardiff &amp; Vale UHB, Noah’s Ark / University Hospital Wales</c:v>
                </c:pt>
                <c:pt idx="6">
                  <c:v>Bath, Royal United Hospital </c:v>
                </c:pt>
                <c:pt idx="7">
                  <c:v>Swindon, Great Weston Hospital </c:v>
                </c:pt>
                <c:pt idx="8">
                  <c:v>Cwm Taf Morgannwg UHB, Royal Glamorgan Hospital </c:v>
                </c:pt>
                <c:pt idx="9">
                  <c:v>Hywel Dda UHB, Withybush Hospital</c:v>
                </c:pt>
                <c:pt idx="10">
                  <c:v>Cwm Taf Morgannwg UHB, Prince Charles Hospital</c:v>
                </c:pt>
                <c:pt idx="11">
                  <c:v>Cwm Taf Morgannwg UHB, Princess of Wales Hospital</c:v>
                </c:pt>
                <c:pt idx="12">
                  <c:v>Taunton, Musgrove Park Hospital </c:v>
                </c:pt>
                <c:pt idx="13">
                  <c:v>Gloucester, Gloucestershire Hospitals</c:v>
                </c:pt>
                <c:pt idx="14">
                  <c:v>Swansea Bay UHB, Morriston / Singleton Hospitals</c:v>
                </c:pt>
                <c:pt idx="15">
                  <c:v>Exeter, Royal Devon and Exeter Hospital </c:v>
                </c:pt>
                <c:pt idx="16">
                  <c:v>Torquay, Torbay General District Hospital </c:v>
                </c:pt>
                <c:pt idx="17">
                  <c:v>Aneurin Bevan UHB, Nevill Hall &amp; Royal Gwent Hospitals</c:v>
                </c:pt>
              </c:strCache>
            </c:strRef>
          </c:cat>
          <c:val>
            <c:numRef>
              <c:f>'Graph data Q1'!$D$58:$D$75</c:f>
              <c:numCache>
                <c:formatCode>0</c:formatCode>
                <c:ptCount val="1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6</c:v>
                </c:pt>
                <c:pt idx="9">
                  <c:v>17</c:v>
                </c:pt>
                <c:pt idx="10">
                  <c:v>18</c:v>
                </c:pt>
                <c:pt idx="11">
                  <c:v>20</c:v>
                </c:pt>
                <c:pt idx="12">
                  <c:v>37</c:v>
                </c:pt>
                <c:pt idx="13">
                  <c:v>30</c:v>
                </c:pt>
                <c:pt idx="14">
                  <c:v>19</c:v>
                </c:pt>
                <c:pt idx="15">
                  <c:v>35</c:v>
                </c:pt>
                <c:pt idx="16">
                  <c:v>72</c:v>
                </c:pt>
                <c:pt idx="17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40-4477-B4E3-9142DA587D42}"/>
            </c:ext>
          </c:extLst>
        </c:ser>
        <c:ser>
          <c:idx val="2"/>
          <c:order val="2"/>
          <c:tx>
            <c:strRef>
              <c:f>'Graph data Q1'!$E$57</c:f>
              <c:strCache>
                <c:ptCount val="1"/>
                <c:pt idx="0">
                  <c:v>≥12 months</c:v>
                </c:pt>
              </c:strCache>
            </c:strRef>
          </c:tx>
          <c:spPr>
            <a:solidFill>
              <a:srgbClr val="C2307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data Q1'!$B$58:$B$75</c:f>
              <c:strCache>
                <c:ptCount val="18"/>
                <c:pt idx="0">
                  <c:v>Hywel Dda UHB, Glangwilli Hospital</c:v>
                </c:pt>
                <c:pt idx="1">
                  <c:v>Barnstaple, North Devon District Hospital </c:v>
                </c:pt>
                <c:pt idx="2">
                  <c:v>Plymouth, Derriford Hospital </c:v>
                </c:pt>
                <c:pt idx="3">
                  <c:v>Truro, Royal Cornwall Hospital </c:v>
                </c:pt>
                <c:pt idx="4">
                  <c:v>Bristol, Bristol Heart Institute / Bristol Royal Hospital for Children</c:v>
                </c:pt>
                <c:pt idx="5">
                  <c:v>Cardiff &amp; Vale UHB, Noah’s Ark / University Hospital Wales</c:v>
                </c:pt>
                <c:pt idx="6">
                  <c:v>Bath, Royal United Hospital </c:v>
                </c:pt>
                <c:pt idx="7">
                  <c:v>Swindon, Great Weston Hospital </c:v>
                </c:pt>
                <c:pt idx="8">
                  <c:v>Cwm Taf Morgannwg UHB, Royal Glamorgan Hospital </c:v>
                </c:pt>
                <c:pt idx="9">
                  <c:v>Hywel Dda UHB, Withybush Hospital</c:v>
                </c:pt>
                <c:pt idx="10">
                  <c:v>Cwm Taf Morgannwg UHB, Prince Charles Hospital</c:v>
                </c:pt>
                <c:pt idx="11">
                  <c:v>Cwm Taf Morgannwg UHB, Princess of Wales Hospital</c:v>
                </c:pt>
                <c:pt idx="12">
                  <c:v>Taunton, Musgrove Park Hospital </c:v>
                </c:pt>
                <c:pt idx="13">
                  <c:v>Gloucester, Gloucestershire Hospitals</c:v>
                </c:pt>
                <c:pt idx="14">
                  <c:v>Swansea Bay UHB, Morriston / Singleton Hospitals</c:v>
                </c:pt>
                <c:pt idx="15">
                  <c:v>Exeter, Royal Devon and Exeter Hospital </c:v>
                </c:pt>
                <c:pt idx="16">
                  <c:v>Torquay, Torbay General District Hospital </c:v>
                </c:pt>
                <c:pt idx="17">
                  <c:v>Aneurin Bevan UHB, Nevill Hall &amp; Royal Gwent Hospitals</c:v>
                </c:pt>
              </c:strCache>
            </c:strRef>
          </c:cat>
          <c:val>
            <c:numRef>
              <c:f>'Graph data Q1'!$E$58:$E$75</c:f>
              <c:numCache>
                <c:formatCode>0</c:formatCode>
                <c:ptCount val="1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5</c:v>
                </c:pt>
                <c:pt idx="11">
                  <c:v>0</c:v>
                </c:pt>
                <c:pt idx="12">
                  <c:v>14</c:v>
                </c:pt>
                <c:pt idx="13">
                  <c:v>42</c:v>
                </c:pt>
                <c:pt idx="14">
                  <c:v>0</c:v>
                </c:pt>
                <c:pt idx="15">
                  <c:v>15</c:v>
                </c:pt>
                <c:pt idx="16">
                  <c:v>19</c:v>
                </c:pt>
                <c:pt idx="17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40-4477-B4E3-9142DA587D4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238576768"/>
        <c:axId val="238578304"/>
      </c:barChart>
      <c:catAx>
        <c:axId val="23857676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38578304"/>
        <c:crosses val="autoZero"/>
        <c:auto val="1"/>
        <c:lblAlgn val="ctr"/>
        <c:lblOffset val="100"/>
        <c:noMultiLvlLbl val="0"/>
      </c:catAx>
      <c:valAx>
        <c:axId val="238578304"/>
        <c:scaling>
          <c:orientation val="minMax"/>
          <c:max val="600"/>
        </c:scaling>
        <c:delete val="0"/>
        <c:axPos val="b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minorGridlines>
          <c:spPr>
            <a:ln>
              <a:solidFill>
                <a:schemeClr val="bg1">
                  <a:lumMod val="85000"/>
                </a:schemeClr>
              </a:solidFill>
            </a:ln>
          </c:spPr>
        </c:minorGridlines>
        <c:numFmt formatCode="0" sourceLinked="1"/>
        <c:majorTickMark val="out"/>
        <c:minorTickMark val="none"/>
        <c:tickLblPos val="nextTo"/>
        <c:crossAx val="238576768"/>
        <c:crosses val="autoZero"/>
        <c:crossBetween val="between"/>
        <c:majorUnit val="50"/>
        <c:minorUnit val="25"/>
      </c:valAx>
    </c:plotArea>
    <c:legend>
      <c:legendPos val="r"/>
      <c:layout>
        <c:manualLayout>
          <c:xMode val="edge"/>
          <c:yMode val="edge"/>
          <c:x val="0.92479212729892035"/>
          <c:y val="0.70803212978659347"/>
          <c:w val="6.0614386684813587E-2"/>
          <c:h val="0.15529713715363044"/>
        </c:manualLayout>
      </c:layout>
      <c:overlay val="1"/>
      <c:spPr>
        <a:solidFill>
          <a:schemeClr val="bg1"/>
        </a:solidFill>
        <a:ln>
          <a:solidFill>
            <a:schemeClr val="bg1">
              <a:lumMod val="65000"/>
            </a:schemeClr>
          </a:solidFill>
        </a:ln>
      </c:spPr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Paediatrics</a:t>
            </a:r>
            <a:r>
              <a:rPr lang="en-US" baseline="0"/>
              <a:t> DNA rate (%) - </a:t>
            </a:r>
            <a:r>
              <a:rPr lang="en-US"/>
              <a:t>Local consultant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46873633209970839"/>
          <c:y val="0.12550246139575619"/>
          <c:w val="0.5087110185572421"/>
          <c:h val="0.7995948290677772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'Graph data Q1'!$C$80</c:f>
              <c:strCache>
                <c:ptCount val="1"/>
                <c:pt idx="0">
                  <c:v>Local consultant</c:v>
                </c:pt>
              </c:strCache>
            </c:strRef>
          </c:tx>
          <c:spPr>
            <a:solidFill>
              <a:srgbClr val="C2307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data Q1'!$B$81:$B$98</c:f>
              <c:strCache>
                <c:ptCount val="18"/>
                <c:pt idx="0">
                  <c:v>Hywel Dda UHB, Glangwilli Hospital</c:v>
                </c:pt>
                <c:pt idx="1">
                  <c:v>Barnstaple, North Devon District Hospital </c:v>
                </c:pt>
                <c:pt idx="2">
                  <c:v>Plymouth, Derriford Hospital </c:v>
                </c:pt>
                <c:pt idx="3">
                  <c:v>Truro, Royal Cornwall Hospital </c:v>
                </c:pt>
                <c:pt idx="4">
                  <c:v>Hywel Dda UHB, Withybush Hospital</c:v>
                </c:pt>
                <c:pt idx="5">
                  <c:v>Torquay, Torbay General District Hospital </c:v>
                </c:pt>
                <c:pt idx="6">
                  <c:v>Swansea Bay UHB, Morriston / Singleton Hospitals</c:v>
                </c:pt>
                <c:pt idx="7">
                  <c:v>Bath, Royal United Hospital </c:v>
                </c:pt>
                <c:pt idx="8">
                  <c:v>Bristol, Bristol Heart Institute / Bristol Royal Hospital for Children</c:v>
                </c:pt>
                <c:pt idx="9">
                  <c:v>Exeter, Royal Devon and Exeter Hospital </c:v>
                </c:pt>
                <c:pt idx="10">
                  <c:v>Swindon, Great Weston Hospital </c:v>
                </c:pt>
                <c:pt idx="11">
                  <c:v>Aneurin Bevan UHB, Nevill Hall &amp; Royal Gwent Hospitals</c:v>
                </c:pt>
                <c:pt idx="12">
                  <c:v>Cardiff &amp; Vale UHB, Noah’s Ark / University Hospital Wales</c:v>
                </c:pt>
                <c:pt idx="13">
                  <c:v>Gloucester, Gloucestershire Hospitals</c:v>
                </c:pt>
                <c:pt idx="14">
                  <c:v>Cwm Taf Morgannwg UHB, Princess of Wales Hospital</c:v>
                </c:pt>
                <c:pt idx="15">
                  <c:v>Taunton, Musgrove Park Hospital </c:v>
                </c:pt>
                <c:pt idx="16">
                  <c:v>Cwm Taf Morgannwg UHB, Royal Glamorgan Hospital </c:v>
                </c:pt>
                <c:pt idx="17">
                  <c:v>Cwm Taf Morgannwg UHB, Prince Charles Hospital</c:v>
                </c:pt>
              </c:strCache>
            </c:strRef>
          </c:cat>
          <c:val>
            <c:numRef>
              <c:f>'Graph data Q1'!$C$81:$C$98</c:f>
              <c:numCache>
                <c:formatCode>0%</c:formatCode>
                <c:ptCount val="1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0.03</c:v>
                </c:pt>
                <c:pt idx="6">
                  <c:v>3.49E-2</c:v>
                </c:pt>
                <c:pt idx="7">
                  <c:v>0.04</c:v>
                </c:pt>
                <c:pt idx="8">
                  <c:v>0.06</c:v>
                </c:pt>
                <c:pt idx="9">
                  <c:v>0.06</c:v>
                </c:pt>
                <c:pt idx="10">
                  <c:v>7.0000000000000007E-2</c:v>
                </c:pt>
                <c:pt idx="11">
                  <c:v>9.0999999999999998E-2</c:v>
                </c:pt>
                <c:pt idx="12">
                  <c:v>0.10199999999999999</c:v>
                </c:pt>
                <c:pt idx="13">
                  <c:v>0.1091</c:v>
                </c:pt>
                <c:pt idx="14">
                  <c:v>0.15</c:v>
                </c:pt>
                <c:pt idx="15">
                  <c:v>0.15</c:v>
                </c:pt>
                <c:pt idx="16">
                  <c:v>0.25929999999999997</c:v>
                </c:pt>
                <c:pt idx="17">
                  <c:v>0.28499999999999998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FB-40B3-8D30-E30B4D845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8599552"/>
        <c:axId val="238634112"/>
      </c:barChart>
      <c:catAx>
        <c:axId val="23859955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38634112"/>
        <c:crosses val="autoZero"/>
        <c:auto val="1"/>
        <c:lblAlgn val="ctr"/>
        <c:lblOffset val="100"/>
        <c:noMultiLvlLbl val="0"/>
      </c:catAx>
      <c:valAx>
        <c:axId val="238634112"/>
        <c:scaling>
          <c:orientation val="minMax"/>
          <c:max val="0.35000000000000003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crossAx val="2385995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Paediatrics</a:t>
            </a:r>
            <a:r>
              <a:rPr lang="en-US" baseline="0"/>
              <a:t> DNA rate (%) - </a:t>
            </a:r>
            <a:r>
              <a:rPr lang="en-US"/>
              <a:t>Visiting consultant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47370525995635721"/>
          <c:y val="0.11708518652741629"/>
          <c:w val="0.49957174499522033"/>
          <c:h val="0.8130357240909740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'Graph data Q1'!$G$80</c:f>
              <c:strCache>
                <c:ptCount val="1"/>
                <c:pt idx="0">
                  <c:v>Visiting consultant</c:v>
                </c:pt>
              </c:strCache>
            </c:strRef>
          </c:tx>
          <c:spPr>
            <a:solidFill>
              <a:srgbClr val="C2307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data Q1'!$F$81:$F$98</c:f>
              <c:strCache>
                <c:ptCount val="18"/>
                <c:pt idx="0">
                  <c:v>Hywel Dda UHB, Glangwilli Hospital</c:v>
                </c:pt>
                <c:pt idx="1">
                  <c:v>Barnstaple, North Devon District Hospital </c:v>
                </c:pt>
                <c:pt idx="2">
                  <c:v>Plymouth, Derriford Hospital </c:v>
                </c:pt>
                <c:pt idx="3">
                  <c:v>Truro, Royal Cornwall Hospital </c:v>
                </c:pt>
                <c:pt idx="4">
                  <c:v>Bristol, Bristol Heart Institute / Bristol Royal Hospital for Children</c:v>
                </c:pt>
                <c:pt idx="5">
                  <c:v>Cardiff &amp; Vale UHB, Noah’s Ark / University Hospital Wales</c:v>
                </c:pt>
                <c:pt idx="6">
                  <c:v>Cwm Taf Morgannwg UHB, Royal Glamorgan Hospital </c:v>
                </c:pt>
                <c:pt idx="7">
                  <c:v>Hywel Dda UHB, Withybush Hospital</c:v>
                </c:pt>
                <c:pt idx="8">
                  <c:v>Gloucester, Gloucestershire Hospitals</c:v>
                </c:pt>
                <c:pt idx="9">
                  <c:v>Torquay, Torbay General District Hospital </c:v>
                </c:pt>
                <c:pt idx="10">
                  <c:v>Swansea Bay UHB, Morriston / Singleton Hospitals</c:v>
                </c:pt>
                <c:pt idx="11">
                  <c:v>Taunton, Musgrove Park Hospital </c:v>
                </c:pt>
                <c:pt idx="12">
                  <c:v>Exeter, Royal Devon and Exeter Hospital </c:v>
                </c:pt>
                <c:pt idx="13">
                  <c:v>Cwm Taf Morgannwg UHB, Prince Charles Hospital</c:v>
                </c:pt>
                <c:pt idx="14">
                  <c:v>Bath, Royal United Hospital </c:v>
                </c:pt>
                <c:pt idx="15">
                  <c:v>Swindon, Great Weston Hospital </c:v>
                </c:pt>
                <c:pt idx="16">
                  <c:v>Cwm Taf Morgannwg UHB, Princess of Wales Hospital</c:v>
                </c:pt>
                <c:pt idx="17">
                  <c:v>Aneurin Bevan UHB, Nevill Hall &amp; Royal Gwent Hospitals</c:v>
                </c:pt>
              </c:strCache>
            </c:strRef>
          </c:cat>
          <c:val>
            <c:numRef>
              <c:f>'Graph data Q1'!$G$81:$G$98</c:f>
              <c:numCache>
                <c:formatCode>0%</c:formatCode>
                <c:ptCount val="1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0.02</c:v>
                </c:pt>
                <c:pt idx="12">
                  <c:v>0.03</c:v>
                </c:pt>
                <c:pt idx="13">
                  <c:v>3.6999999999999998E-2</c:v>
                </c:pt>
                <c:pt idx="14">
                  <c:v>0.04</c:v>
                </c:pt>
                <c:pt idx="15">
                  <c:v>0.04</c:v>
                </c:pt>
                <c:pt idx="16">
                  <c:v>0.05</c:v>
                </c:pt>
                <c:pt idx="17">
                  <c:v>0.11899999999999999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D1-4294-A367-10A6E86DD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8666880"/>
        <c:axId val="238668416"/>
      </c:barChart>
      <c:catAx>
        <c:axId val="23866688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38668416"/>
        <c:crosses val="autoZero"/>
        <c:auto val="1"/>
        <c:lblAlgn val="ctr"/>
        <c:lblOffset val="100"/>
        <c:noMultiLvlLbl val="0"/>
      </c:catAx>
      <c:valAx>
        <c:axId val="238668416"/>
        <c:scaling>
          <c:orientation val="minMax"/>
          <c:max val="0.35000000000000003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crossAx val="238666880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Adults</a:t>
            </a:r>
            <a:r>
              <a:rPr lang="en-US" baseline="0"/>
              <a:t> DNA rate (%) -  </a:t>
            </a:r>
            <a:r>
              <a:rPr lang="en-US"/>
              <a:t>Local consultant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44830231038735946"/>
          <c:y val="0.11684074981232774"/>
          <c:w val="0.48900067040474188"/>
          <c:h val="0.7863257183010652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'Graph data Q1'!$K$80</c:f>
              <c:strCache>
                <c:ptCount val="1"/>
                <c:pt idx="0">
                  <c:v>Local consultant</c:v>
                </c:pt>
              </c:strCache>
            </c:strRef>
          </c:tx>
          <c:spPr>
            <a:solidFill>
              <a:srgbClr val="7C285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data Q1'!$J$81:$J$97</c:f>
              <c:strCache>
                <c:ptCount val="17"/>
                <c:pt idx="0">
                  <c:v>Cardiff &amp; Vale UHB, Noah’s Ark / University Hospital Wales</c:v>
                </c:pt>
                <c:pt idx="1">
                  <c:v>Exeter, Royal Devon and Exeter Hospital </c:v>
                </c:pt>
                <c:pt idx="2">
                  <c:v>Plymouth, Derriford Hospital </c:v>
                </c:pt>
                <c:pt idx="3">
                  <c:v>Swindon, Great Weston Hospital </c:v>
                </c:pt>
                <c:pt idx="4">
                  <c:v>Truro, Royal Cornwall Hospital </c:v>
                </c:pt>
                <c:pt idx="5">
                  <c:v>Aneurin Bevan UHB, Nevill Hall &amp; Royal Gwent Hospitals</c:v>
                </c:pt>
                <c:pt idx="6">
                  <c:v>Cwm Taf Morgannwg UHB, Princess of Wales Hospital</c:v>
                </c:pt>
                <c:pt idx="7">
                  <c:v>Cwm Taf Morgannwg UHB, Royal Glamorgan Hospital </c:v>
                </c:pt>
                <c:pt idx="8">
                  <c:v>Cwm Taf Morgannwg UHB, Prince Charles Hospital</c:v>
                </c:pt>
                <c:pt idx="9">
                  <c:v>Hywel Dda UHB, Glangwilli Hospital</c:v>
                </c:pt>
                <c:pt idx="10">
                  <c:v>Hywel Dda UHB, Withybush Hospital</c:v>
                </c:pt>
                <c:pt idx="11">
                  <c:v>Swansea Bay UHB, Morriston / Singleton Hospitals</c:v>
                </c:pt>
                <c:pt idx="12">
                  <c:v>Torquay, Torbay General District Hospital </c:v>
                </c:pt>
                <c:pt idx="13">
                  <c:v>Bristol, Bristol Heart Institute / Bristol Royal Hospital for Children</c:v>
                </c:pt>
                <c:pt idx="14">
                  <c:v>Barnstaple, North Devon District Hospital </c:v>
                </c:pt>
                <c:pt idx="15">
                  <c:v>Gloucester, Gloucestershire Hospitals</c:v>
                </c:pt>
                <c:pt idx="16">
                  <c:v>Taunton, Musgrove Park Hospital </c:v>
                </c:pt>
              </c:strCache>
            </c:strRef>
          </c:cat>
          <c:val>
            <c:numRef>
              <c:f>'Graph data Q1'!$K$81:$K$97</c:f>
              <c:numCache>
                <c:formatCode>0%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2.5000000000000001E-3</c:v>
                </c:pt>
                <c:pt idx="13">
                  <c:v>0.08</c:v>
                </c:pt>
                <c:pt idx="14">
                  <c:v>0.14000000000000001</c:v>
                </c:pt>
                <c:pt idx="15">
                  <c:v>0.148148148148148</c:v>
                </c:pt>
                <c:pt idx="16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3D-4BB3-BFA1-B51EB74D7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8373888"/>
        <c:axId val="238375680"/>
      </c:barChart>
      <c:catAx>
        <c:axId val="23837388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38375680"/>
        <c:crosses val="autoZero"/>
        <c:auto val="1"/>
        <c:lblAlgn val="ctr"/>
        <c:lblOffset val="100"/>
        <c:noMultiLvlLbl val="0"/>
      </c:catAx>
      <c:valAx>
        <c:axId val="238375680"/>
        <c:scaling>
          <c:orientation val="minMax"/>
          <c:max val="0.35000000000000003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crossAx val="238373888"/>
        <c:crosses val="autoZero"/>
        <c:crossBetween val="between"/>
        <c:majorUnit val="5.000000000000001E-2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18" dropStyle="combo" dx="20" fmlaLink="Control!$B$19" fmlaRange="Control!$B$1:$B$18" noThreeD="1" sel="18" val="0"/>
</file>

<file path=xl/ctrlProps/ctrlProp2.xml><?xml version="1.0" encoding="utf-8"?>
<formControlPr xmlns="http://schemas.microsoft.com/office/spreadsheetml/2009/9/main" objectType="Drop" dropLines="18" dropStyle="combo" dx="20" fmlaLink="Control!$B$19" fmlaRange="Control!$B$1:$B$18" noThreeD="1" sel="18" val="0"/>
</file>

<file path=xl/ctrlProps/ctrlProp3.xml><?xml version="1.0" encoding="utf-8"?>
<formControlPr xmlns="http://schemas.microsoft.com/office/spreadsheetml/2009/9/main" objectType="Drop" dropLines="20" dropStyle="combo" dx="20" fmlaLink="Control!$B$41" fmlaRange="Control!$B$22:$B$39" noThreeD="1" sel="18" val="0"/>
</file>

<file path=xl/ctrlProps/ctrlProp4.xml><?xml version="1.0" encoding="utf-8"?>
<formControlPr xmlns="http://schemas.microsoft.com/office/spreadsheetml/2009/9/main" objectType="Drop" dropLines="20" dropStyle="combo" dx="20" fmlaLink="Control!$B$41" fmlaRange="Control!$B$22:$B$40" noThreeD="1" sel="19" val="0"/>
</file>

<file path=xl/ctrlProps/ctrlProp5.xml><?xml version="1.0" encoding="utf-8"?>
<formControlPr xmlns="http://schemas.microsoft.com/office/spreadsheetml/2009/9/main" objectType="Drop" dropLines="18" dropStyle="combo" dx="20" fmlaLink="$B$19" fmlaRange="$B$1:$B$18" noThreeD="1" sel="18" val="0"/>
</file>

<file path=xl/ctrlProps/ctrlProp6.xml><?xml version="1.0" encoding="utf-8"?>
<formControlPr xmlns="http://schemas.microsoft.com/office/spreadsheetml/2009/9/main" objectType="Drop" dropLines="19" dropStyle="combo" dx="20" fmlaLink="$B$41" fmlaRange="$B$22:$B$40" noThreeD="1" sel="19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3" Type="http://schemas.openxmlformats.org/officeDocument/2006/relationships/chart" Target="../charts/chart27.xml"/><Relationship Id="rId7" Type="http://schemas.openxmlformats.org/officeDocument/2006/relationships/chart" Target="../charts/chart31.xml"/><Relationship Id="rId12" Type="http://schemas.openxmlformats.org/officeDocument/2006/relationships/chart" Target="../charts/chart36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11" Type="http://schemas.openxmlformats.org/officeDocument/2006/relationships/chart" Target="../charts/chart35.xml"/><Relationship Id="rId5" Type="http://schemas.openxmlformats.org/officeDocument/2006/relationships/chart" Target="../charts/chart29.xml"/><Relationship Id="rId10" Type="http://schemas.openxmlformats.org/officeDocument/2006/relationships/chart" Target="../charts/chart34.xml"/><Relationship Id="rId4" Type="http://schemas.openxmlformats.org/officeDocument/2006/relationships/chart" Target="../charts/chart28.xml"/><Relationship Id="rId9" Type="http://schemas.openxmlformats.org/officeDocument/2006/relationships/chart" Target="../charts/chart33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4.xml"/><Relationship Id="rId3" Type="http://schemas.openxmlformats.org/officeDocument/2006/relationships/chart" Target="../charts/chart39.xml"/><Relationship Id="rId7" Type="http://schemas.openxmlformats.org/officeDocument/2006/relationships/chart" Target="../charts/chart43.xml"/><Relationship Id="rId12" Type="http://schemas.openxmlformats.org/officeDocument/2006/relationships/chart" Target="../charts/chart48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6" Type="http://schemas.openxmlformats.org/officeDocument/2006/relationships/chart" Target="../charts/chart42.xml"/><Relationship Id="rId11" Type="http://schemas.openxmlformats.org/officeDocument/2006/relationships/chart" Target="../charts/chart47.xml"/><Relationship Id="rId5" Type="http://schemas.openxmlformats.org/officeDocument/2006/relationships/chart" Target="../charts/chart41.xml"/><Relationship Id="rId10" Type="http://schemas.openxmlformats.org/officeDocument/2006/relationships/chart" Target="../charts/chart46.xml"/><Relationship Id="rId4" Type="http://schemas.openxmlformats.org/officeDocument/2006/relationships/chart" Target="../charts/chart40.xml"/><Relationship Id="rId9" Type="http://schemas.openxmlformats.org/officeDocument/2006/relationships/chart" Target="../charts/chart45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5" Type="http://schemas.openxmlformats.org/officeDocument/2006/relationships/image" Target="../media/image1.png"/><Relationship Id="rId4" Type="http://schemas.openxmlformats.org/officeDocument/2006/relationships/chart" Target="../charts/chart52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5.xml"/><Relationship Id="rId2" Type="http://schemas.openxmlformats.org/officeDocument/2006/relationships/chart" Target="../charts/chart54.xml"/><Relationship Id="rId1" Type="http://schemas.openxmlformats.org/officeDocument/2006/relationships/chart" Target="../charts/chart53.xml"/><Relationship Id="rId5" Type="http://schemas.openxmlformats.org/officeDocument/2006/relationships/image" Target="../media/image1.png"/><Relationship Id="rId4" Type="http://schemas.openxmlformats.org/officeDocument/2006/relationships/chart" Target="../charts/chart5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3" Type="http://schemas.openxmlformats.org/officeDocument/2006/relationships/chart" Target="../charts/chart15.xml"/><Relationship Id="rId7" Type="http://schemas.openxmlformats.org/officeDocument/2006/relationships/chart" Target="../charts/chart19.xml"/><Relationship Id="rId12" Type="http://schemas.openxmlformats.org/officeDocument/2006/relationships/chart" Target="../charts/chart24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11" Type="http://schemas.openxmlformats.org/officeDocument/2006/relationships/chart" Target="../charts/chart23.xml"/><Relationship Id="rId5" Type="http://schemas.openxmlformats.org/officeDocument/2006/relationships/chart" Target="../charts/chart17.xml"/><Relationship Id="rId10" Type="http://schemas.openxmlformats.org/officeDocument/2006/relationships/chart" Target="../charts/chart22.xml"/><Relationship Id="rId4" Type="http://schemas.openxmlformats.org/officeDocument/2006/relationships/chart" Target="../charts/chart16.xml"/><Relationship Id="rId9" Type="http://schemas.openxmlformats.org/officeDocument/2006/relationships/chart" Target="../charts/chart2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166477</xdr:colOff>
      <xdr:row>21</xdr:row>
      <xdr:rowOff>16773</xdr:rowOff>
    </xdr:from>
    <xdr:to>
      <xdr:col>15</xdr:col>
      <xdr:colOff>289165</xdr:colOff>
      <xdr:row>26</xdr:row>
      <xdr:rowOff>95733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05911" y="6510547"/>
          <a:ext cx="2710612" cy="99987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600074</xdr:colOff>
      <xdr:row>4</xdr:row>
      <xdr:rowOff>38100</xdr:rowOff>
    </xdr:from>
    <xdr:to>
      <xdr:col>15</xdr:col>
      <xdr:colOff>590549</xdr:colOff>
      <xdr:row>32</xdr:row>
      <xdr:rowOff>161925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372382</xdr:colOff>
      <xdr:row>4</xdr:row>
      <xdr:rowOff>32658</xdr:rowOff>
    </xdr:from>
    <xdr:to>
      <xdr:col>28</xdr:col>
      <xdr:colOff>907</xdr:colOff>
      <xdr:row>32</xdr:row>
      <xdr:rowOff>131989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74085</xdr:colOff>
      <xdr:row>37</xdr:row>
      <xdr:rowOff>117475</xdr:rowOff>
    </xdr:from>
    <xdr:to>
      <xdr:col>29</xdr:col>
      <xdr:colOff>0</xdr:colOff>
      <xdr:row>62</xdr:row>
      <xdr:rowOff>12699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150738</xdr:colOff>
      <xdr:row>62</xdr:row>
      <xdr:rowOff>2570</xdr:rowOff>
    </xdr:from>
    <xdr:to>
      <xdr:col>29</xdr:col>
      <xdr:colOff>0</xdr:colOff>
      <xdr:row>86</xdr:row>
      <xdr:rowOff>78770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582082</xdr:colOff>
      <xdr:row>89</xdr:row>
      <xdr:rowOff>136071</xdr:rowOff>
    </xdr:from>
    <xdr:to>
      <xdr:col>28</xdr:col>
      <xdr:colOff>52160</xdr:colOff>
      <xdr:row>114</xdr:row>
      <xdr:rowOff>21773</xdr:rowOff>
    </xdr:to>
    <xdr:graphicFrame macro="">
      <xdr:nvGraphicFramePr>
        <xdr:cNvPr id="6" name="Chart 7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600981</xdr:colOff>
      <xdr:row>114</xdr:row>
      <xdr:rowOff>178254</xdr:rowOff>
    </xdr:from>
    <xdr:to>
      <xdr:col>27</xdr:col>
      <xdr:colOff>455083</xdr:colOff>
      <xdr:row>139</xdr:row>
      <xdr:rowOff>149679</xdr:rowOff>
    </xdr:to>
    <xdr:graphicFrame macro="">
      <xdr:nvGraphicFramePr>
        <xdr:cNvPr id="7" name="Chart 7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481853</xdr:colOff>
      <xdr:row>144</xdr:row>
      <xdr:rowOff>38100</xdr:rowOff>
    </xdr:from>
    <xdr:to>
      <xdr:col>27</xdr:col>
      <xdr:colOff>257175</xdr:colOff>
      <xdr:row>167</xdr:row>
      <xdr:rowOff>161925</xdr:rowOff>
    </xdr:to>
    <xdr:graphicFrame macro="">
      <xdr:nvGraphicFramePr>
        <xdr:cNvPr id="8" name="Chart 19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317687</xdr:colOff>
      <xdr:row>167</xdr:row>
      <xdr:rowOff>1121</xdr:rowOff>
    </xdr:from>
    <xdr:to>
      <xdr:col>27</xdr:col>
      <xdr:colOff>374837</xdr:colOff>
      <xdr:row>190</xdr:row>
      <xdr:rowOff>172571</xdr:rowOff>
    </xdr:to>
    <xdr:graphicFrame macro="">
      <xdr:nvGraphicFramePr>
        <xdr:cNvPr id="9" name="Chart 20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144</xdr:row>
      <xdr:rowOff>47624</xdr:rowOff>
    </xdr:from>
    <xdr:to>
      <xdr:col>14</xdr:col>
      <xdr:colOff>104775</xdr:colOff>
      <xdr:row>168</xdr:row>
      <xdr:rowOff>161925</xdr:rowOff>
    </xdr:to>
    <xdr:graphicFrame macro="">
      <xdr:nvGraphicFramePr>
        <xdr:cNvPr id="10" name="Chart 21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560295</xdr:colOff>
      <xdr:row>167</xdr:row>
      <xdr:rowOff>34736</xdr:rowOff>
    </xdr:from>
    <xdr:to>
      <xdr:col>14</xdr:col>
      <xdr:colOff>345701</xdr:colOff>
      <xdr:row>191</xdr:row>
      <xdr:rowOff>34737</xdr:rowOff>
    </xdr:to>
    <xdr:graphicFrame macro="">
      <xdr:nvGraphicFramePr>
        <xdr:cNvPr id="11" name="Chart 22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57149</xdr:colOff>
      <xdr:row>196</xdr:row>
      <xdr:rowOff>57150</xdr:rowOff>
    </xdr:from>
    <xdr:to>
      <xdr:col>13</xdr:col>
      <xdr:colOff>485775</xdr:colOff>
      <xdr:row>218</xdr:row>
      <xdr:rowOff>114300</xdr:rowOff>
    </xdr:to>
    <xdr:graphicFrame macro="">
      <xdr:nvGraphicFramePr>
        <xdr:cNvPr id="12" name="Chart 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15</xdr:col>
      <xdr:colOff>85725</xdr:colOff>
      <xdr:row>196</xdr:row>
      <xdr:rowOff>104775</xdr:rowOff>
    </xdr:from>
    <xdr:to>
      <xdr:col>27</xdr:col>
      <xdr:colOff>476250</xdr:colOff>
      <xdr:row>218</xdr:row>
      <xdr:rowOff>76201</xdr:rowOff>
    </xdr:to>
    <xdr:graphicFrame macro="">
      <xdr:nvGraphicFramePr>
        <xdr:cNvPr id="13" name="Chart 4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11</xdr:col>
      <xdr:colOff>592666</xdr:colOff>
      <xdr:row>27</xdr:row>
      <xdr:rowOff>105833</xdr:rowOff>
    </xdr:from>
    <xdr:to>
      <xdr:col>14</xdr:col>
      <xdr:colOff>560916</xdr:colOff>
      <xdr:row>29</xdr:row>
      <xdr:rowOff>21167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 txBox="1"/>
      </xdr:nvSpPr>
      <xdr:spPr>
        <a:xfrm>
          <a:off x="7298266" y="5601758"/>
          <a:ext cx="1797050" cy="2772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#N/A</a:t>
          </a:r>
          <a:r>
            <a:rPr lang="en-GB" sz="1100" baseline="0"/>
            <a:t> = no data provided</a:t>
          </a:r>
        </a:p>
      </xdr:txBody>
    </xdr:sp>
    <xdr:clientData/>
  </xdr:twoCellAnchor>
  <xdr:twoCellAnchor>
    <xdr:from>
      <xdr:col>24</xdr:col>
      <xdr:colOff>448734</xdr:colOff>
      <xdr:row>27</xdr:row>
      <xdr:rowOff>120651</xdr:rowOff>
    </xdr:from>
    <xdr:to>
      <xdr:col>27</xdr:col>
      <xdr:colOff>416984</xdr:colOff>
      <xdr:row>29</xdr:row>
      <xdr:rowOff>35985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 txBox="1"/>
      </xdr:nvSpPr>
      <xdr:spPr>
        <a:xfrm>
          <a:off x="15079134" y="5616576"/>
          <a:ext cx="1797050" cy="2772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#N/A</a:t>
          </a:r>
          <a:r>
            <a:rPr lang="en-GB" sz="1100" baseline="0"/>
            <a:t> = no data provided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98425</xdr:colOff>
      <xdr:row>2</xdr:row>
      <xdr:rowOff>351336</xdr:rowOff>
    </xdr:from>
    <xdr:to>
      <xdr:col>26</xdr:col>
      <xdr:colOff>676275</xdr:colOff>
      <xdr:row>3</xdr:row>
      <xdr:rowOff>417814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81350" y="856161"/>
          <a:ext cx="1292225" cy="46652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657225</xdr:colOff>
      <xdr:row>2</xdr:row>
      <xdr:rowOff>355096</xdr:rowOff>
    </xdr:from>
    <xdr:to>
      <xdr:col>26</xdr:col>
      <xdr:colOff>681787</xdr:colOff>
      <xdr:row>4</xdr:row>
      <xdr:rowOff>52689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40050" y="859921"/>
          <a:ext cx="1510462" cy="545318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600074</xdr:colOff>
      <xdr:row>4</xdr:row>
      <xdr:rowOff>38100</xdr:rowOff>
    </xdr:from>
    <xdr:to>
      <xdr:col>15</xdr:col>
      <xdr:colOff>590549</xdr:colOff>
      <xdr:row>32</xdr:row>
      <xdr:rowOff>161925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372382</xdr:colOff>
      <xdr:row>4</xdr:row>
      <xdr:rowOff>32658</xdr:rowOff>
    </xdr:from>
    <xdr:to>
      <xdr:col>28</xdr:col>
      <xdr:colOff>907</xdr:colOff>
      <xdr:row>32</xdr:row>
      <xdr:rowOff>131989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74085</xdr:colOff>
      <xdr:row>37</xdr:row>
      <xdr:rowOff>117475</xdr:rowOff>
    </xdr:from>
    <xdr:to>
      <xdr:col>29</xdr:col>
      <xdr:colOff>0</xdr:colOff>
      <xdr:row>62</xdr:row>
      <xdr:rowOff>12699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150738</xdr:colOff>
      <xdr:row>62</xdr:row>
      <xdr:rowOff>2570</xdr:rowOff>
    </xdr:from>
    <xdr:to>
      <xdr:col>29</xdr:col>
      <xdr:colOff>0</xdr:colOff>
      <xdr:row>86</xdr:row>
      <xdr:rowOff>78770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582082</xdr:colOff>
      <xdr:row>89</xdr:row>
      <xdr:rowOff>136071</xdr:rowOff>
    </xdr:from>
    <xdr:to>
      <xdr:col>28</xdr:col>
      <xdr:colOff>52160</xdr:colOff>
      <xdr:row>114</xdr:row>
      <xdr:rowOff>21773</xdr:rowOff>
    </xdr:to>
    <xdr:graphicFrame macro="">
      <xdr:nvGraphicFramePr>
        <xdr:cNvPr id="6" name="Chart 7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600981</xdr:colOff>
      <xdr:row>114</xdr:row>
      <xdr:rowOff>178254</xdr:rowOff>
    </xdr:from>
    <xdr:to>
      <xdr:col>27</xdr:col>
      <xdr:colOff>455083</xdr:colOff>
      <xdr:row>139</xdr:row>
      <xdr:rowOff>149679</xdr:rowOff>
    </xdr:to>
    <xdr:graphicFrame macro="">
      <xdr:nvGraphicFramePr>
        <xdr:cNvPr id="7" name="Chart 7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481853</xdr:colOff>
      <xdr:row>144</xdr:row>
      <xdr:rowOff>38100</xdr:rowOff>
    </xdr:from>
    <xdr:to>
      <xdr:col>27</xdr:col>
      <xdr:colOff>257175</xdr:colOff>
      <xdr:row>167</xdr:row>
      <xdr:rowOff>161925</xdr:rowOff>
    </xdr:to>
    <xdr:graphicFrame macro="">
      <xdr:nvGraphicFramePr>
        <xdr:cNvPr id="8" name="Chart 19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317687</xdr:colOff>
      <xdr:row>167</xdr:row>
      <xdr:rowOff>1121</xdr:rowOff>
    </xdr:from>
    <xdr:to>
      <xdr:col>27</xdr:col>
      <xdr:colOff>374837</xdr:colOff>
      <xdr:row>190</xdr:row>
      <xdr:rowOff>172571</xdr:rowOff>
    </xdr:to>
    <xdr:graphicFrame macro="">
      <xdr:nvGraphicFramePr>
        <xdr:cNvPr id="9" name="Chart 20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144</xdr:row>
      <xdr:rowOff>47624</xdr:rowOff>
    </xdr:from>
    <xdr:to>
      <xdr:col>14</xdr:col>
      <xdr:colOff>104775</xdr:colOff>
      <xdr:row>168</xdr:row>
      <xdr:rowOff>161925</xdr:rowOff>
    </xdr:to>
    <xdr:graphicFrame macro="">
      <xdr:nvGraphicFramePr>
        <xdr:cNvPr id="10" name="Chart 21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560295</xdr:colOff>
      <xdr:row>167</xdr:row>
      <xdr:rowOff>34736</xdr:rowOff>
    </xdr:from>
    <xdr:to>
      <xdr:col>14</xdr:col>
      <xdr:colOff>345701</xdr:colOff>
      <xdr:row>191</xdr:row>
      <xdr:rowOff>34737</xdr:rowOff>
    </xdr:to>
    <xdr:graphicFrame macro="">
      <xdr:nvGraphicFramePr>
        <xdr:cNvPr id="11" name="Chart 22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57149</xdr:colOff>
      <xdr:row>196</xdr:row>
      <xdr:rowOff>57150</xdr:rowOff>
    </xdr:from>
    <xdr:to>
      <xdr:col>13</xdr:col>
      <xdr:colOff>485775</xdr:colOff>
      <xdr:row>218</xdr:row>
      <xdr:rowOff>114300</xdr:rowOff>
    </xdr:to>
    <xdr:graphicFrame macro="">
      <xdr:nvGraphicFramePr>
        <xdr:cNvPr id="12" name="Chart 1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15</xdr:col>
      <xdr:colOff>85725</xdr:colOff>
      <xdr:row>196</xdr:row>
      <xdr:rowOff>104775</xdr:rowOff>
    </xdr:from>
    <xdr:to>
      <xdr:col>27</xdr:col>
      <xdr:colOff>476250</xdr:colOff>
      <xdr:row>218</xdr:row>
      <xdr:rowOff>76201</xdr:rowOff>
    </xdr:to>
    <xdr:graphicFrame macro="">
      <xdr:nvGraphicFramePr>
        <xdr:cNvPr id="13" name="Chart 4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11</xdr:col>
      <xdr:colOff>592666</xdr:colOff>
      <xdr:row>27</xdr:row>
      <xdr:rowOff>105833</xdr:rowOff>
    </xdr:from>
    <xdr:to>
      <xdr:col>14</xdr:col>
      <xdr:colOff>560916</xdr:colOff>
      <xdr:row>29</xdr:row>
      <xdr:rowOff>21167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SpPr txBox="1"/>
      </xdr:nvSpPr>
      <xdr:spPr>
        <a:xfrm>
          <a:off x="7298266" y="5601758"/>
          <a:ext cx="1797050" cy="2772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#N/A</a:t>
          </a:r>
          <a:r>
            <a:rPr lang="en-GB" sz="1100" baseline="0"/>
            <a:t> = no data provided</a:t>
          </a:r>
        </a:p>
      </xdr:txBody>
    </xdr:sp>
    <xdr:clientData/>
  </xdr:twoCellAnchor>
  <xdr:twoCellAnchor>
    <xdr:from>
      <xdr:col>24</xdr:col>
      <xdr:colOff>448734</xdr:colOff>
      <xdr:row>27</xdr:row>
      <xdr:rowOff>120651</xdr:rowOff>
    </xdr:from>
    <xdr:to>
      <xdr:col>27</xdr:col>
      <xdr:colOff>416984</xdr:colOff>
      <xdr:row>29</xdr:row>
      <xdr:rowOff>35985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SpPr txBox="1"/>
      </xdr:nvSpPr>
      <xdr:spPr>
        <a:xfrm>
          <a:off x="15079134" y="5616576"/>
          <a:ext cx="1797050" cy="2772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#N/A</a:t>
          </a:r>
          <a:r>
            <a:rPr lang="en-GB" sz="1100" baseline="0"/>
            <a:t> = no data provided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32</xdr:row>
      <xdr:rowOff>38099</xdr:rowOff>
    </xdr:from>
    <xdr:to>
      <xdr:col>11</xdr:col>
      <xdr:colOff>323850</xdr:colOff>
      <xdr:row>50</xdr:row>
      <xdr:rowOff>28574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219074</xdr:colOff>
      <xdr:row>52</xdr:row>
      <xdr:rowOff>114300</xdr:rowOff>
    </xdr:from>
    <xdr:to>
      <xdr:col>5</xdr:col>
      <xdr:colOff>342900</xdr:colOff>
      <xdr:row>67</xdr:row>
      <xdr:rowOff>0</xdr:rowOff>
    </xdr:to>
    <xdr:graphicFrame macro="">
      <xdr:nvGraphicFramePr>
        <xdr:cNvPr id="6" name="Chart 2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409575</xdr:colOff>
      <xdr:row>52</xdr:row>
      <xdr:rowOff>142875</xdr:rowOff>
    </xdr:from>
    <xdr:to>
      <xdr:col>11</xdr:col>
      <xdr:colOff>161927</xdr:colOff>
      <xdr:row>67</xdr:row>
      <xdr:rowOff>9525</xdr:rowOff>
    </xdr:to>
    <xdr:graphicFrame macro="">
      <xdr:nvGraphicFramePr>
        <xdr:cNvPr id="8" name="Chart 2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133349</xdr:colOff>
      <xdr:row>70</xdr:row>
      <xdr:rowOff>0</xdr:rowOff>
    </xdr:from>
    <xdr:to>
      <xdr:col>11</xdr:col>
      <xdr:colOff>352424</xdr:colOff>
      <xdr:row>87</xdr:row>
      <xdr:rowOff>19050</xdr:rowOff>
    </xdr:to>
    <xdr:graphicFrame macro="">
      <xdr:nvGraphicFramePr>
        <xdr:cNvPr id="9" name="Chart 3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525780</xdr:colOff>
          <xdr:row>27</xdr:row>
          <xdr:rowOff>236220</xdr:rowOff>
        </xdr:from>
        <xdr:to>
          <xdr:col>11</xdr:col>
          <xdr:colOff>266700</xdr:colOff>
          <xdr:row>29</xdr:row>
          <xdr:rowOff>83820</xdr:rowOff>
        </xdr:to>
        <xdr:sp macro="" textlink="">
          <xdr:nvSpPr>
            <xdr:cNvPr id="4108" name="Drop Down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E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10</xdr:col>
      <xdr:colOff>311150</xdr:colOff>
      <xdr:row>0</xdr:row>
      <xdr:rowOff>361950</xdr:rowOff>
    </xdr:from>
    <xdr:to>
      <xdr:col>13</xdr:col>
      <xdr:colOff>517322</xdr:colOff>
      <xdr:row>5</xdr:row>
      <xdr:rowOff>59039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039350" y="361950"/>
          <a:ext cx="2361362" cy="82103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7620</xdr:rowOff>
        </xdr:from>
        <xdr:to>
          <xdr:col>4</xdr:col>
          <xdr:colOff>365760</xdr:colOff>
          <xdr:row>3</xdr:row>
          <xdr:rowOff>175260</xdr:rowOff>
        </xdr:to>
        <xdr:sp macro="" textlink="">
          <xdr:nvSpPr>
            <xdr:cNvPr id="4109" name="Drop Down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E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32</xdr:row>
      <xdr:rowOff>38099</xdr:rowOff>
    </xdr:from>
    <xdr:to>
      <xdr:col>11</xdr:col>
      <xdr:colOff>323850</xdr:colOff>
      <xdr:row>50</xdr:row>
      <xdr:rowOff>28574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</xdr:colOff>
          <xdr:row>29</xdr:row>
          <xdr:rowOff>68580</xdr:rowOff>
        </xdr:from>
        <xdr:to>
          <xdr:col>11</xdr:col>
          <xdr:colOff>403860</xdr:colOff>
          <xdr:row>31</xdr:row>
          <xdr:rowOff>38100</xdr:rowOff>
        </xdr:to>
        <xdr:sp macro="" textlink="">
          <xdr:nvSpPr>
            <xdr:cNvPr id="9221" name="Drop Down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F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200024</xdr:colOff>
      <xdr:row>52</xdr:row>
      <xdr:rowOff>104775</xdr:rowOff>
    </xdr:from>
    <xdr:to>
      <xdr:col>5</xdr:col>
      <xdr:colOff>114300</xdr:colOff>
      <xdr:row>66</xdr:row>
      <xdr:rowOff>180975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66675</xdr:colOff>
      <xdr:row>52</xdr:row>
      <xdr:rowOff>114301</xdr:rowOff>
    </xdr:from>
    <xdr:to>
      <xdr:col>11</xdr:col>
      <xdr:colOff>257176</xdr:colOff>
      <xdr:row>67</xdr:row>
      <xdr:rowOff>9525</xdr:rowOff>
    </xdr:to>
    <xdr:graphicFrame macro="">
      <xdr:nvGraphicFramePr>
        <xdr:cNvPr id="10" name="Chart 2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219074</xdr:colOff>
      <xdr:row>71</xdr:row>
      <xdr:rowOff>104775</xdr:rowOff>
    </xdr:from>
    <xdr:to>
      <xdr:col>11</xdr:col>
      <xdr:colOff>438149</xdr:colOff>
      <xdr:row>88</xdr:row>
      <xdr:rowOff>123825</xdr:rowOff>
    </xdr:to>
    <xdr:graphicFrame macro="">
      <xdr:nvGraphicFramePr>
        <xdr:cNvPr id="5" name="Chart 3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10</xdr:col>
      <xdr:colOff>76200</xdr:colOff>
      <xdr:row>0</xdr:row>
      <xdr:rowOff>349250</xdr:rowOff>
    </xdr:from>
    <xdr:to>
      <xdr:col>13</xdr:col>
      <xdr:colOff>288722</xdr:colOff>
      <xdr:row>5</xdr:row>
      <xdr:rowOff>48244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721850" y="349250"/>
          <a:ext cx="2361362" cy="82103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106680</xdr:colOff>
          <xdr:row>2</xdr:row>
          <xdr:rowOff>22860</xdr:rowOff>
        </xdr:from>
        <xdr:to>
          <xdr:col>4</xdr:col>
          <xdr:colOff>502920</xdr:colOff>
          <xdr:row>3</xdr:row>
          <xdr:rowOff>182880</xdr:rowOff>
        </xdr:to>
        <xdr:sp macro="" textlink="">
          <xdr:nvSpPr>
            <xdr:cNvPr id="9222" name="Drop Down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F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7</xdr:row>
          <xdr:rowOff>38100</xdr:rowOff>
        </xdr:from>
        <xdr:to>
          <xdr:col>5</xdr:col>
          <xdr:colOff>571500</xdr:colOff>
          <xdr:row>8</xdr:row>
          <xdr:rowOff>175260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16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29</xdr:row>
          <xdr:rowOff>38100</xdr:rowOff>
        </xdr:from>
        <xdr:to>
          <xdr:col>5</xdr:col>
          <xdr:colOff>571500</xdr:colOff>
          <xdr:row>30</xdr:row>
          <xdr:rowOff>182880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16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98425</xdr:colOff>
      <xdr:row>2</xdr:row>
      <xdr:rowOff>351336</xdr:rowOff>
    </xdr:from>
    <xdr:to>
      <xdr:col>26</xdr:col>
      <xdr:colOff>676275</xdr:colOff>
      <xdr:row>3</xdr:row>
      <xdr:rowOff>417814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28800" y="856161"/>
          <a:ext cx="1292225" cy="46652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657225</xdr:colOff>
      <xdr:row>2</xdr:row>
      <xdr:rowOff>355096</xdr:rowOff>
    </xdr:from>
    <xdr:to>
      <xdr:col>26</xdr:col>
      <xdr:colOff>681787</xdr:colOff>
      <xdr:row>4</xdr:row>
      <xdr:rowOff>52689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16075" y="859921"/>
          <a:ext cx="1510462" cy="54531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600074</xdr:colOff>
      <xdr:row>4</xdr:row>
      <xdr:rowOff>38100</xdr:rowOff>
    </xdr:from>
    <xdr:to>
      <xdr:col>15</xdr:col>
      <xdr:colOff>590549</xdr:colOff>
      <xdr:row>32</xdr:row>
      <xdr:rowOff>161925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372382</xdr:colOff>
      <xdr:row>4</xdr:row>
      <xdr:rowOff>32658</xdr:rowOff>
    </xdr:from>
    <xdr:to>
      <xdr:col>28</xdr:col>
      <xdr:colOff>907</xdr:colOff>
      <xdr:row>32</xdr:row>
      <xdr:rowOff>131989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74085</xdr:colOff>
      <xdr:row>37</xdr:row>
      <xdr:rowOff>117475</xdr:rowOff>
    </xdr:from>
    <xdr:to>
      <xdr:col>29</xdr:col>
      <xdr:colOff>0</xdr:colOff>
      <xdr:row>62</xdr:row>
      <xdr:rowOff>12699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150738</xdr:colOff>
      <xdr:row>62</xdr:row>
      <xdr:rowOff>2570</xdr:rowOff>
    </xdr:from>
    <xdr:to>
      <xdr:col>29</xdr:col>
      <xdr:colOff>0</xdr:colOff>
      <xdr:row>86</xdr:row>
      <xdr:rowOff>78770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582082</xdr:colOff>
      <xdr:row>89</xdr:row>
      <xdr:rowOff>136071</xdr:rowOff>
    </xdr:from>
    <xdr:to>
      <xdr:col>28</xdr:col>
      <xdr:colOff>52160</xdr:colOff>
      <xdr:row>114</xdr:row>
      <xdr:rowOff>21773</xdr:rowOff>
    </xdr:to>
    <xdr:graphicFrame macro="">
      <xdr:nvGraphicFramePr>
        <xdr:cNvPr id="6" name="Chart 7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600981</xdr:colOff>
      <xdr:row>114</xdr:row>
      <xdr:rowOff>178254</xdr:rowOff>
    </xdr:from>
    <xdr:to>
      <xdr:col>27</xdr:col>
      <xdr:colOff>455083</xdr:colOff>
      <xdr:row>139</xdr:row>
      <xdr:rowOff>149679</xdr:rowOff>
    </xdr:to>
    <xdr:graphicFrame macro="">
      <xdr:nvGraphicFramePr>
        <xdr:cNvPr id="7" name="Chart 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481853</xdr:colOff>
      <xdr:row>144</xdr:row>
      <xdr:rowOff>38100</xdr:rowOff>
    </xdr:from>
    <xdr:to>
      <xdr:col>27</xdr:col>
      <xdr:colOff>257175</xdr:colOff>
      <xdr:row>167</xdr:row>
      <xdr:rowOff>161925</xdr:rowOff>
    </xdr:to>
    <xdr:graphicFrame macro="">
      <xdr:nvGraphicFramePr>
        <xdr:cNvPr id="8" name="Chart 19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317687</xdr:colOff>
      <xdr:row>167</xdr:row>
      <xdr:rowOff>1121</xdr:rowOff>
    </xdr:from>
    <xdr:to>
      <xdr:col>27</xdr:col>
      <xdr:colOff>374837</xdr:colOff>
      <xdr:row>190</xdr:row>
      <xdr:rowOff>172571</xdr:rowOff>
    </xdr:to>
    <xdr:graphicFrame macro="">
      <xdr:nvGraphicFramePr>
        <xdr:cNvPr id="9" name="Chart 20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144</xdr:row>
      <xdr:rowOff>47624</xdr:rowOff>
    </xdr:from>
    <xdr:to>
      <xdr:col>14</xdr:col>
      <xdr:colOff>104775</xdr:colOff>
      <xdr:row>168</xdr:row>
      <xdr:rowOff>161925</xdr:rowOff>
    </xdr:to>
    <xdr:graphicFrame macro="">
      <xdr:nvGraphicFramePr>
        <xdr:cNvPr id="10" name="Chart 21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560295</xdr:colOff>
      <xdr:row>167</xdr:row>
      <xdr:rowOff>34736</xdr:rowOff>
    </xdr:from>
    <xdr:to>
      <xdr:col>14</xdr:col>
      <xdr:colOff>345701</xdr:colOff>
      <xdr:row>191</xdr:row>
      <xdr:rowOff>34737</xdr:rowOff>
    </xdr:to>
    <xdr:graphicFrame macro="">
      <xdr:nvGraphicFramePr>
        <xdr:cNvPr id="11" name="Chart 22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57149</xdr:colOff>
      <xdr:row>196</xdr:row>
      <xdr:rowOff>57150</xdr:rowOff>
    </xdr:from>
    <xdr:to>
      <xdr:col>13</xdr:col>
      <xdr:colOff>485775</xdr:colOff>
      <xdr:row>218</xdr:row>
      <xdr:rowOff>114300</xdr:rowOff>
    </xdr:to>
    <xdr:graphicFrame macro="">
      <xdr:nvGraphicFramePr>
        <xdr:cNvPr id="12" name="Chart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15</xdr:col>
      <xdr:colOff>85725</xdr:colOff>
      <xdr:row>196</xdr:row>
      <xdr:rowOff>104775</xdr:rowOff>
    </xdr:from>
    <xdr:to>
      <xdr:col>27</xdr:col>
      <xdr:colOff>476250</xdr:colOff>
      <xdr:row>218</xdr:row>
      <xdr:rowOff>76201</xdr:rowOff>
    </xdr:to>
    <xdr:graphicFrame macro="">
      <xdr:nvGraphicFramePr>
        <xdr:cNvPr id="13" name="Chart 4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11</xdr:col>
      <xdr:colOff>592666</xdr:colOff>
      <xdr:row>27</xdr:row>
      <xdr:rowOff>105833</xdr:rowOff>
    </xdr:from>
    <xdr:to>
      <xdr:col>14</xdr:col>
      <xdr:colOff>560916</xdr:colOff>
      <xdr:row>29</xdr:row>
      <xdr:rowOff>21167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/>
      </xdr:nvSpPr>
      <xdr:spPr>
        <a:xfrm>
          <a:off x="7344833" y="5746750"/>
          <a:ext cx="1809750" cy="2751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#N/A</a:t>
          </a:r>
          <a:r>
            <a:rPr lang="en-GB" sz="1100" baseline="0"/>
            <a:t> = no data provided</a:t>
          </a:r>
        </a:p>
      </xdr:txBody>
    </xdr:sp>
    <xdr:clientData/>
  </xdr:twoCellAnchor>
  <xdr:twoCellAnchor>
    <xdr:from>
      <xdr:col>24</xdr:col>
      <xdr:colOff>448734</xdr:colOff>
      <xdr:row>27</xdr:row>
      <xdr:rowOff>120651</xdr:rowOff>
    </xdr:from>
    <xdr:to>
      <xdr:col>27</xdr:col>
      <xdr:colOff>416984</xdr:colOff>
      <xdr:row>29</xdr:row>
      <xdr:rowOff>35985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/>
      </xdr:nvSpPr>
      <xdr:spPr>
        <a:xfrm>
          <a:off x="15180734" y="5761568"/>
          <a:ext cx="1809750" cy="2751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#N/A</a:t>
          </a:r>
          <a:r>
            <a:rPr lang="en-GB" sz="1100" baseline="0"/>
            <a:t> = no data provided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98425</xdr:colOff>
      <xdr:row>2</xdr:row>
      <xdr:rowOff>351336</xdr:rowOff>
    </xdr:from>
    <xdr:to>
      <xdr:col>26</xdr:col>
      <xdr:colOff>672465</xdr:colOff>
      <xdr:row>3</xdr:row>
      <xdr:rowOff>417814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81350" y="856161"/>
          <a:ext cx="1292225" cy="46652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657225</xdr:colOff>
      <xdr:row>2</xdr:row>
      <xdr:rowOff>355096</xdr:rowOff>
    </xdr:from>
    <xdr:to>
      <xdr:col>26</xdr:col>
      <xdr:colOff>677977</xdr:colOff>
      <xdr:row>4</xdr:row>
      <xdr:rowOff>60309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40050" y="859921"/>
          <a:ext cx="1510462" cy="54531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600074</xdr:colOff>
      <xdr:row>4</xdr:row>
      <xdr:rowOff>38100</xdr:rowOff>
    </xdr:from>
    <xdr:to>
      <xdr:col>15</xdr:col>
      <xdr:colOff>590549</xdr:colOff>
      <xdr:row>32</xdr:row>
      <xdr:rowOff>161925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372382</xdr:colOff>
      <xdr:row>4</xdr:row>
      <xdr:rowOff>32658</xdr:rowOff>
    </xdr:from>
    <xdr:to>
      <xdr:col>28</xdr:col>
      <xdr:colOff>907</xdr:colOff>
      <xdr:row>32</xdr:row>
      <xdr:rowOff>131989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74085</xdr:colOff>
      <xdr:row>37</xdr:row>
      <xdr:rowOff>117475</xdr:rowOff>
    </xdr:from>
    <xdr:to>
      <xdr:col>29</xdr:col>
      <xdr:colOff>0</xdr:colOff>
      <xdr:row>62</xdr:row>
      <xdr:rowOff>12699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150738</xdr:colOff>
      <xdr:row>62</xdr:row>
      <xdr:rowOff>2570</xdr:rowOff>
    </xdr:from>
    <xdr:to>
      <xdr:col>29</xdr:col>
      <xdr:colOff>0</xdr:colOff>
      <xdr:row>86</xdr:row>
      <xdr:rowOff>78770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582082</xdr:colOff>
      <xdr:row>89</xdr:row>
      <xdr:rowOff>136071</xdr:rowOff>
    </xdr:from>
    <xdr:to>
      <xdr:col>28</xdr:col>
      <xdr:colOff>52160</xdr:colOff>
      <xdr:row>114</xdr:row>
      <xdr:rowOff>21773</xdr:rowOff>
    </xdr:to>
    <xdr:graphicFrame macro="">
      <xdr:nvGraphicFramePr>
        <xdr:cNvPr id="6" name="Chart 7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600981</xdr:colOff>
      <xdr:row>114</xdr:row>
      <xdr:rowOff>178254</xdr:rowOff>
    </xdr:from>
    <xdr:to>
      <xdr:col>27</xdr:col>
      <xdr:colOff>455083</xdr:colOff>
      <xdr:row>139</xdr:row>
      <xdr:rowOff>149679</xdr:rowOff>
    </xdr:to>
    <xdr:graphicFrame macro="">
      <xdr:nvGraphicFramePr>
        <xdr:cNvPr id="7" name="Chart 7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481853</xdr:colOff>
      <xdr:row>144</xdr:row>
      <xdr:rowOff>38100</xdr:rowOff>
    </xdr:from>
    <xdr:to>
      <xdr:col>27</xdr:col>
      <xdr:colOff>257175</xdr:colOff>
      <xdr:row>167</xdr:row>
      <xdr:rowOff>161925</xdr:rowOff>
    </xdr:to>
    <xdr:graphicFrame macro="">
      <xdr:nvGraphicFramePr>
        <xdr:cNvPr id="8" name="Chart 19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317687</xdr:colOff>
      <xdr:row>167</xdr:row>
      <xdr:rowOff>1121</xdr:rowOff>
    </xdr:from>
    <xdr:to>
      <xdr:col>27</xdr:col>
      <xdr:colOff>374837</xdr:colOff>
      <xdr:row>190</xdr:row>
      <xdr:rowOff>172571</xdr:rowOff>
    </xdr:to>
    <xdr:graphicFrame macro="">
      <xdr:nvGraphicFramePr>
        <xdr:cNvPr id="9" name="Chart 20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144</xdr:row>
      <xdr:rowOff>47624</xdr:rowOff>
    </xdr:from>
    <xdr:to>
      <xdr:col>14</xdr:col>
      <xdr:colOff>104775</xdr:colOff>
      <xdr:row>168</xdr:row>
      <xdr:rowOff>161925</xdr:rowOff>
    </xdr:to>
    <xdr:graphicFrame macro="">
      <xdr:nvGraphicFramePr>
        <xdr:cNvPr id="10" name="Chart 2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560295</xdr:colOff>
      <xdr:row>167</xdr:row>
      <xdr:rowOff>34736</xdr:rowOff>
    </xdr:from>
    <xdr:to>
      <xdr:col>14</xdr:col>
      <xdr:colOff>345701</xdr:colOff>
      <xdr:row>191</xdr:row>
      <xdr:rowOff>34737</xdr:rowOff>
    </xdr:to>
    <xdr:graphicFrame macro="">
      <xdr:nvGraphicFramePr>
        <xdr:cNvPr id="11" name="Chart 22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57149</xdr:colOff>
      <xdr:row>196</xdr:row>
      <xdr:rowOff>57150</xdr:rowOff>
    </xdr:from>
    <xdr:to>
      <xdr:col>13</xdr:col>
      <xdr:colOff>485775</xdr:colOff>
      <xdr:row>218</xdr:row>
      <xdr:rowOff>114300</xdr:rowOff>
    </xdr:to>
    <xdr:graphicFrame macro="">
      <xdr:nvGraphicFramePr>
        <xdr:cNvPr id="12" name="Chart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15</xdr:col>
      <xdr:colOff>85725</xdr:colOff>
      <xdr:row>196</xdr:row>
      <xdr:rowOff>104775</xdr:rowOff>
    </xdr:from>
    <xdr:to>
      <xdr:col>27</xdr:col>
      <xdr:colOff>476250</xdr:colOff>
      <xdr:row>218</xdr:row>
      <xdr:rowOff>76201</xdr:rowOff>
    </xdr:to>
    <xdr:graphicFrame macro="">
      <xdr:nvGraphicFramePr>
        <xdr:cNvPr id="13" name="Chart 4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11</xdr:col>
      <xdr:colOff>592666</xdr:colOff>
      <xdr:row>27</xdr:row>
      <xdr:rowOff>105833</xdr:rowOff>
    </xdr:from>
    <xdr:to>
      <xdr:col>14</xdr:col>
      <xdr:colOff>560916</xdr:colOff>
      <xdr:row>29</xdr:row>
      <xdr:rowOff>21167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/>
      </xdr:nvSpPr>
      <xdr:spPr>
        <a:xfrm>
          <a:off x="7298266" y="5601758"/>
          <a:ext cx="1797050" cy="2772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#N/A</a:t>
          </a:r>
          <a:r>
            <a:rPr lang="en-GB" sz="1100" baseline="0"/>
            <a:t> = no data provided</a:t>
          </a:r>
        </a:p>
      </xdr:txBody>
    </xdr:sp>
    <xdr:clientData/>
  </xdr:twoCellAnchor>
  <xdr:twoCellAnchor>
    <xdr:from>
      <xdr:col>24</xdr:col>
      <xdr:colOff>448734</xdr:colOff>
      <xdr:row>27</xdr:row>
      <xdr:rowOff>120651</xdr:rowOff>
    </xdr:from>
    <xdr:to>
      <xdr:col>27</xdr:col>
      <xdr:colOff>416984</xdr:colOff>
      <xdr:row>29</xdr:row>
      <xdr:rowOff>35985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/>
      </xdr:nvSpPr>
      <xdr:spPr>
        <a:xfrm>
          <a:off x="15079134" y="5616576"/>
          <a:ext cx="1797050" cy="2772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#N/A</a:t>
          </a:r>
          <a:r>
            <a:rPr lang="en-GB" sz="1100" baseline="0"/>
            <a:t> = no data provided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98425</xdr:colOff>
      <xdr:row>2</xdr:row>
      <xdr:rowOff>351336</xdr:rowOff>
    </xdr:from>
    <xdr:to>
      <xdr:col>26</xdr:col>
      <xdr:colOff>676275</xdr:colOff>
      <xdr:row>3</xdr:row>
      <xdr:rowOff>417814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81350" y="856161"/>
          <a:ext cx="1292225" cy="46652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657225</xdr:colOff>
      <xdr:row>2</xdr:row>
      <xdr:rowOff>355096</xdr:rowOff>
    </xdr:from>
    <xdr:to>
      <xdr:col>26</xdr:col>
      <xdr:colOff>681787</xdr:colOff>
      <xdr:row>4</xdr:row>
      <xdr:rowOff>52689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40050" y="859921"/>
          <a:ext cx="1510462" cy="5453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1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T49"/>
  <sheetViews>
    <sheetView showGridLines="0" tabSelected="1" topLeftCell="I1" zoomScale="106" zoomScaleNormal="106" workbookViewId="0">
      <selection activeCell="L10" sqref="L10"/>
    </sheetView>
  </sheetViews>
  <sheetFormatPr defaultColWidth="0" defaultRowHeight="14.4" zeroHeight="1" x14ac:dyDescent="0.3"/>
  <cols>
    <col min="1" max="8" width="0" hidden="1" customWidth="1"/>
    <col min="9" max="9" width="8.88671875" customWidth="1"/>
    <col min="10" max="10" width="3.33203125" style="33" customWidth="1"/>
    <col min="11" max="11" width="8.109375" customWidth="1"/>
    <col min="12" max="14" width="28.88671875" style="2" customWidth="1"/>
    <col min="15" max="15" width="8.33203125" customWidth="1"/>
    <col min="16" max="16" width="12" customWidth="1"/>
    <col min="17" max="17" width="12.88671875" hidden="1" customWidth="1"/>
    <col min="18" max="18" width="13.88671875" hidden="1" customWidth="1"/>
    <col min="19" max="19" width="11" hidden="1" customWidth="1"/>
    <col min="20" max="20" width="0" hidden="1" customWidth="1"/>
    <col min="21" max="16384" width="8.88671875" hidden="1"/>
  </cols>
  <sheetData>
    <row r="1" spans="9:19" s="9" customFormat="1" ht="67.5" customHeight="1" x14ac:dyDescent="0.5">
      <c r="I1" s="282" t="s">
        <v>51</v>
      </c>
      <c r="J1" s="282"/>
      <c r="K1" s="283"/>
      <c r="L1" s="283"/>
      <c r="M1" s="283"/>
      <c r="N1" s="283"/>
      <c r="O1" s="283"/>
      <c r="P1" s="283"/>
      <c r="Q1" s="283"/>
      <c r="R1" s="283"/>
      <c r="S1" s="283"/>
    </row>
    <row r="2" spans="9:19" s="10" customFormat="1" ht="25.8" x14ac:dyDescent="0.5">
      <c r="I2" s="166"/>
      <c r="J2" s="166"/>
      <c r="K2" s="167" t="s">
        <v>190</v>
      </c>
      <c r="L2" s="168"/>
      <c r="M2" s="168"/>
      <c r="N2" s="168"/>
      <c r="O2" s="166"/>
      <c r="P2" s="166"/>
      <c r="Q2" s="166"/>
      <c r="R2" s="166"/>
      <c r="S2" s="166"/>
    </row>
    <row r="3" spans="9:19" s="12" customFormat="1" ht="25.8" x14ac:dyDescent="0.5">
      <c r="I3" s="169"/>
      <c r="J3" s="169"/>
      <c r="K3" s="170"/>
      <c r="L3" s="171"/>
      <c r="M3" s="171"/>
      <c r="N3" s="171"/>
      <c r="O3" s="169"/>
      <c r="P3" s="169"/>
      <c r="Q3" s="169"/>
      <c r="R3" s="169"/>
      <c r="S3" s="169"/>
    </row>
    <row r="4" spans="9:19" s="12" customFormat="1" ht="18.899999999999999" customHeight="1" x14ac:dyDescent="0.3">
      <c r="I4" s="280" t="s">
        <v>13</v>
      </c>
      <c r="J4" s="280"/>
      <c r="K4" s="280"/>
      <c r="L4" s="280"/>
      <c r="M4" s="280"/>
      <c r="N4" s="280"/>
      <c r="O4" s="280"/>
      <c r="P4" s="280"/>
      <c r="Q4" s="280"/>
      <c r="R4" s="280"/>
      <c r="S4" s="280"/>
    </row>
    <row r="5" spans="9:19" s="12" customFormat="1" ht="15.75" customHeight="1" x14ac:dyDescent="0.3">
      <c r="I5" s="281" t="s">
        <v>100</v>
      </c>
      <c r="J5" s="281"/>
      <c r="K5" s="281"/>
      <c r="L5" s="281"/>
      <c r="M5" s="281"/>
      <c r="N5" s="281"/>
      <c r="O5" s="281"/>
      <c r="P5" s="281"/>
      <c r="Q5" s="281"/>
      <c r="R5" s="281"/>
      <c r="S5" s="281"/>
    </row>
    <row r="6" spans="9:19" ht="13.5" customHeight="1" x14ac:dyDescent="0.3">
      <c r="I6" s="169"/>
      <c r="J6" s="169"/>
      <c r="K6" s="169"/>
      <c r="L6" s="171"/>
      <c r="M6" s="171"/>
      <c r="N6" s="171"/>
      <c r="O6" s="169"/>
      <c r="P6" s="169"/>
      <c r="Q6" s="169"/>
      <c r="R6" s="169"/>
      <c r="S6" s="169"/>
    </row>
    <row r="7" spans="9:19" s="33" customFormat="1" ht="9" customHeight="1" x14ac:dyDescent="0.3">
      <c r="I7" s="172"/>
      <c r="J7" s="173"/>
      <c r="K7" s="174"/>
      <c r="L7" s="174"/>
      <c r="M7" s="175"/>
      <c r="N7" s="175"/>
      <c r="O7" s="176"/>
      <c r="P7" s="169"/>
      <c r="Q7" s="169"/>
      <c r="R7" s="169"/>
      <c r="S7" s="169"/>
    </row>
    <row r="8" spans="9:19" s="33" customFormat="1" ht="25.5" customHeight="1" x14ac:dyDescent="0.3">
      <c r="I8" s="172"/>
      <c r="J8" s="173"/>
      <c r="K8" s="177" t="s">
        <v>102</v>
      </c>
      <c r="L8" s="175"/>
      <c r="M8" s="175"/>
      <c r="N8" s="175"/>
      <c r="O8" s="176"/>
      <c r="P8" s="169"/>
      <c r="Q8" s="169"/>
      <c r="R8" s="169"/>
      <c r="S8" s="169"/>
    </row>
    <row r="9" spans="9:19" s="33" customFormat="1" ht="25.5" customHeight="1" x14ac:dyDescent="0.3">
      <c r="I9" s="172"/>
      <c r="J9" s="173"/>
      <c r="K9" s="191" t="s">
        <v>4</v>
      </c>
      <c r="L9" s="417" t="s">
        <v>145</v>
      </c>
      <c r="M9" s="417" t="s">
        <v>103</v>
      </c>
      <c r="N9" s="417" t="s">
        <v>104</v>
      </c>
      <c r="O9" s="178"/>
      <c r="P9" s="169"/>
      <c r="Q9" s="169"/>
      <c r="R9" s="169"/>
      <c r="S9" s="169"/>
    </row>
    <row r="10" spans="9:19" s="33" customFormat="1" ht="25.5" customHeight="1" x14ac:dyDescent="0.3">
      <c r="I10" s="172"/>
      <c r="J10" s="173"/>
      <c r="K10" s="191" t="s">
        <v>5</v>
      </c>
      <c r="L10" s="417" t="s">
        <v>145</v>
      </c>
      <c r="M10" s="417" t="s">
        <v>103</v>
      </c>
      <c r="N10" s="417" t="s">
        <v>104</v>
      </c>
      <c r="O10" s="176"/>
      <c r="P10" s="169"/>
      <c r="Q10" s="169"/>
      <c r="R10" s="169"/>
      <c r="S10" s="169"/>
    </row>
    <row r="11" spans="9:19" s="33" customFormat="1" ht="25.5" customHeight="1" x14ac:dyDescent="0.3">
      <c r="I11" s="172"/>
      <c r="J11" s="173"/>
      <c r="K11" s="192" t="s">
        <v>6</v>
      </c>
      <c r="L11" s="418" t="s">
        <v>145</v>
      </c>
      <c r="M11" s="418" t="s">
        <v>103</v>
      </c>
      <c r="N11" s="418" t="s">
        <v>104</v>
      </c>
      <c r="O11" s="179"/>
      <c r="P11" s="169"/>
      <c r="Q11" s="169"/>
      <c r="R11" s="169"/>
      <c r="S11" s="169"/>
    </row>
    <row r="12" spans="9:19" s="33" customFormat="1" ht="25.5" customHeight="1" x14ac:dyDescent="0.3">
      <c r="I12" s="172"/>
      <c r="J12" s="173"/>
      <c r="K12" s="193" t="s">
        <v>7</v>
      </c>
      <c r="L12" s="418" t="s">
        <v>145</v>
      </c>
      <c r="M12" s="418" t="s">
        <v>103</v>
      </c>
      <c r="N12" s="418" t="s">
        <v>104</v>
      </c>
      <c r="O12" s="176"/>
      <c r="P12" s="169"/>
      <c r="Q12" s="169"/>
      <c r="R12" s="169"/>
      <c r="S12" s="169"/>
    </row>
    <row r="13" spans="9:19" s="33" customFormat="1" ht="25.5" customHeight="1" x14ac:dyDescent="0.3">
      <c r="I13" s="172"/>
      <c r="J13" s="180"/>
      <c r="K13" s="181"/>
      <c r="L13" s="182"/>
      <c r="M13" s="183"/>
      <c r="N13" s="183"/>
      <c r="O13" s="176"/>
      <c r="P13" s="169"/>
      <c r="Q13" s="169"/>
      <c r="R13" s="169"/>
      <c r="S13" s="169"/>
    </row>
    <row r="14" spans="9:19" s="33" customFormat="1" ht="25.5" customHeight="1" x14ac:dyDescent="0.3">
      <c r="I14" s="172"/>
      <c r="J14" s="180"/>
      <c r="K14" s="181"/>
      <c r="L14" s="184"/>
      <c r="M14" s="175"/>
      <c r="N14" s="175"/>
      <c r="O14" s="176"/>
      <c r="P14" s="169"/>
      <c r="Q14" s="169"/>
      <c r="R14" s="169"/>
      <c r="S14" s="169"/>
    </row>
    <row r="15" spans="9:19" s="33" customFormat="1" ht="25.5" customHeight="1" x14ac:dyDescent="0.3">
      <c r="I15" s="172"/>
      <c r="J15" s="180"/>
      <c r="K15" s="185" t="s">
        <v>105</v>
      </c>
      <c r="L15" s="178"/>
      <c r="M15" s="175"/>
      <c r="N15" s="175"/>
      <c r="O15" s="176"/>
      <c r="P15" s="169"/>
      <c r="Q15" s="169"/>
      <c r="R15" s="169"/>
      <c r="S15" s="169"/>
    </row>
    <row r="16" spans="9:19" s="33" customFormat="1" ht="25.5" customHeight="1" x14ac:dyDescent="0.3">
      <c r="I16" s="172"/>
      <c r="J16" s="180"/>
      <c r="K16" s="186"/>
      <c r="L16" s="189" t="s">
        <v>145</v>
      </c>
      <c r="M16" s="189" t="s">
        <v>99</v>
      </c>
      <c r="N16" s="187"/>
      <c r="O16" s="176"/>
      <c r="P16" s="169"/>
      <c r="Q16" s="169"/>
      <c r="R16" s="169"/>
      <c r="S16" s="169"/>
    </row>
    <row r="17" spans="9:19" s="33" customFormat="1" ht="25.5" customHeight="1" x14ac:dyDescent="0.3">
      <c r="I17" s="172"/>
      <c r="J17" s="180"/>
      <c r="K17" s="186"/>
      <c r="L17" s="184"/>
      <c r="M17" s="175"/>
      <c r="N17" s="175"/>
      <c r="O17" s="176"/>
      <c r="P17" s="169"/>
      <c r="Q17" s="169"/>
      <c r="R17" s="169"/>
      <c r="S17" s="169"/>
    </row>
    <row r="18" spans="9:19" s="33" customFormat="1" ht="25.5" customHeight="1" x14ac:dyDescent="0.3">
      <c r="I18" s="169"/>
      <c r="J18" s="169"/>
      <c r="K18" s="169"/>
      <c r="L18" s="171"/>
      <c r="M18" s="171"/>
      <c r="N18" s="171"/>
      <c r="O18" s="169"/>
      <c r="P18" s="169"/>
      <c r="Q18" s="169"/>
      <c r="R18" s="169"/>
      <c r="S18" s="169"/>
    </row>
    <row r="19" spans="9:19" s="33" customFormat="1" ht="25.5" customHeight="1" x14ac:dyDescent="0.3">
      <c r="I19" s="169"/>
      <c r="J19" s="169"/>
      <c r="K19" s="188" t="s">
        <v>144</v>
      </c>
      <c r="L19" s="171"/>
      <c r="M19" s="171"/>
      <c r="N19" s="171"/>
      <c r="O19" s="169"/>
      <c r="P19" s="169"/>
      <c r="Q19" s="169"/>
      <c r="R19" s="169"/>
      <c r="S19" s="169"/>
    </row>
    <row r="20" spans="9:19" x14ac:dyDescent="0.3">
      <c r="I20" s="169"/>
      <c r="J20" s="169"/>
      <c r="K20" s="169" t="s">
        <v>150</v>
      </c>
      <c r="L20" s="171"/>
      <c r="M20" s="171"/>
      <c r="N20" s="171"/>
      <c r="O20" s="169"/>
      <c r="P20" s="169"/>
      <c r="Q20" s="169"/>
      <c r="R20" s="169"/>
      <c r="S20" s="169"/>
    </row>
    <row r="21" spans="9:19" x14ac:dyDescent="0.3">
      <c r="I21" s="169"/>
      <c r="J21" s="169"/>
      <c r="K21" s="169"/>
      <c r="L21" s="171"/>
      <c r="M21" s="171"/>
      <c r="N21" s="171"/>
      <c r="O21" s="169"/>
      <c r="P21" s="169"/>
      <c r="Q21" s="169"/>
      <c r="R21" s="169"/>
      <c r="S21" s="169"/>
    </row>
    <row r="22" spans="9:19" x14ac:dyDescent="0.3">
      <c r="I22" s="169"/>
      <c r="J22" s="169"/>
      <c r="K22" s="169"/>
      <c r="L22" s="171"/>
      <c r="M22" s="171"/>
      <c r="N22" s="171"/>
      <c r="O22" s="169"/>
      <c r="P22" s="169"/>
      <c r="Q22" s="169"/>
      <c r="R22" s="169"/>
      <c r="S22" s="169"/>
    </row>
    <row r="23" spans="9:19" x14ac:dyDescent="0.3">
      <c r="I23" s="169"/>
      <c r="J23" s="169"/>
      <c r="K23" s="169"/>
      <c r="L23" s="171"/>
      <c r="M23" s="171"/>
      <c r="N23" s="171"/>
      <c r="O23" s="169"/>
      <c r="P23" s="169"/>
      <c r="Q23" s="169"/>
      <c r="R23" s="169"/>
      <c r="S23" s="169"/>
    </row>
    <row r="24" spans="9:19" x14ac:dyDescent="0.3">
      <c r="I24" s="169"/>
      <c r="J24" s="169"/>
      <c r="K24" s="169"/>
      <c r="L24" s="171"/>
      <c r="M24" s="171"/>
      <c r="N24" s="171"/>
      <c r="O24" s="169"/>
      <c r="P24" s="169"/>
      <c r="Q24" s="169"/>
      <c r="R24" s="169"/>
      <c r="S24" s="169"/>
    </row>
    <row r="25" spans="9:19" x14ac:dyDescent="0.3">
      <c r="I25" s="169"/>
      <c r="J25" s="169"/>
      <c r="K25" s="169"/>
      <c r="L25" s="171"/>
      <c r="M25" s="171"/>
      <c r="N25" s="171"/>
      <c r="O25" s="169"/>
      <c r="P25" s="169"/>
      <c r="Q25" s="169"/>
      <c r="R25" s="169"/>
      <c r="S25" s="169"/>
    </row>
    <row r="26" spans="9:19" x14ac:dyDescent="0.3">
      <c r="I26" s="169"/>
      <c r="J26" s="169"/>
      <c r="K26" s="169"/>
      <c r="L26" s="171"/>
      <c r="M26" s="171"/>
      <c r="N26" s="171"/>
      <c r="O26" s="169"/>
      <c r="P26" s="169"/>
      <c r="Q26" s="169"/>
      <c r="R26" s="169"/>
      <c r="S26" s="169"/>
    </row>
    <row r="27" spans="9:19" x14ac:dyDescent="0.3">
      <c r="I27" s="169"/>
      <c r="J27" s="169"/>
      <c r="K27" s="169"/>
      <c r="L27" s="171"/>
      <c r="M27" s="171"/>
      <c r="N27" s="171"/>
      <c r="O27" s="169"/>
      <c r="P27" s="169"/>
      <c r="Q27" s="169"/>
      <c r="R27" s="169"/>
      <c r="S27" s="169"/>
    </row>
    <row r="28" spans="9:19" hidden="1" x14ac:dyDescent="0.3">
      <c r="I28" s="178"/>
      <c r="J28" s="178"/>
      <c r="K28" s="178"/>
      <c r="L28" s="184"/>
      <c r="M28" s="184"/>
      <c r="N28" s="184"/>
      <c r="O28" s="178"/>
      <c r="P28" s="178"/>
      <c r="Q28" s="178"/>
      <c r="R28" s="178"/>
      <c r="S28" s="178"/>
    </row>
    <row r="29" spans="9:19" hidden="1" x14ac:dyDescent="0.3">
      <c r="I29" s="178"/>
      <c r="J29" s="178"/>
      <c r="K29" s="178"/>
      <c r="L29" s="184"/>
      <c r="M29" s="184"/>
      <c r="N29" s="184"/>
      <c r="O29" s="178"/>
      <c r="P29" s="178"/>
      <c r="Q29" s="178"/>
      <c r="R29" s="178"/>
      <c r="S29" s="178"/>
    </row>
    <row r="30" spans="9:19" hidden="1" x14ac:dyDescent="0.3">
      <c r="I30" s="178"/>
      <c r="J30" s="178"/>
      <c r="K30" s="178"/>
      <c r="L30" s="184"/>
      <c r="M30" s="184"/>
      <c r="N30" s="184"/>
      <c r="O30" s="178"/>
      <c r="P30" s="178"/>
      <c r="Q30" s="178"/>
      <c r="R30" s="178"/>
      <c r="S30" s="178"/>
    </row>
    <row r="31" spans="9:19" hidden="1" x14ac:dyDescent="0.3">
      <c r="I31" s="178"/>
      <c r="J31" s="178"/>
      <c r="K31" s="178"/>
      <c r="L31" s="184"/>
      <c r="M31" s="184"/>
      <c r="N31" s="184"/>
      <c r="O31" s="178"/>
      <c r="P31" s="178"/>
      <c r="Q31" s="178"/>
      <c r="R31" s="178"/>
      <c r="S31" s="178"/>
    </row>
    <row r="32" spans="9:19" hidden="1" x14ac:dyDescent="0.3">
      <c r="I32" s="178"/>
      <c r="J32" s="178"/>
      <c r="K32" s="178"/>
      <c r="L32" s="184"/>
      <c r="M32" s="184"/>
      <c r="N32" s="184"/>
      <c r="O32" s="178"/>
      <c r="P32" s="178"/>
      <c r="Q32" s="178"/>
      <c r="R32" s="178"/>
      <c r="S32" s="178"/>
    </row>
    <row r="33" spans="9:19" hidden="1" x14ac:dyDescent="0.3">
      <c r="I33" s="178"/>
      <c r="J33" s="178"/>
      <c r="K33" s="178"/>
      <c r="L33" s="184"/>
      <c r="M33" s="184"/>
      <c r="N33" s="184"/>
      <c r="O33" s="178"/>
      <c r="P33" s="178"/>
      <c r="Q33" s="178"/>
      <c r="R33" s="178"/>
      <c r="S33" s="178"/>
    </row>
    <row r="34" spans="9:19" hidden="1" x14ac:dyDescent="0.3">
      <c r="I34" s="178"/>
      <c r="J34" s="178"/>
      <c r="K34" s="178"/>
      <c r="L34" s="184"/>
      <c r="M34" s="184"/>
      <c r="N34" s="184"/>
      <c r="O34" s="178"/>
      <c r="P34" s="178"/>
      <c r="Q34" s="178"/>
      <c r="R34" s="178"/>
      <c r="S34" s="178"/>
    </row>
    <row r="35" spans="9:19" hidden="1" x14ac:dyDescent="0.3">
      <c r="I35" s="178"/>
      <c r="J35" s="178"/>
      <c r="K35" s="178"/>
      <c r="L35" s="184"/>
      <c r="M35" s="184"/>
      <c r="N35" s="184"/>
      <c r="O35" s="178"/>
      <c r="P35" s="178"/>
      <c r="Q35" s="178"/>
      <c r="R35" s="178"/>
      <c r="S35" s="178"/>
    </row>
    <row r="36" spans="9:19" hidden="1" x14ac:dyDescent="0.3">
      <c r="I36" s="178"/>
      <c r="J36" s="178"/>
      <c r="K36" s="178"/>
      <c r="L36" s="184"/>
      <c r="M36" s="184"/>
      <c r="N36" s="184"/>
      <c r="O36" s="178"/>
      <c r="P36" s="178"/>
      <c r="Q36" s="178"/>
      <c r="R36" s="178"/>
      <c r="S36" s="178"/>
    </row>
    <row r="37" spans="9:19" hidden="1" x14ac:dyDescent="0.3">
      <c r="I37" s="178"/>
      <c r="J37" s="178"/>
      <c r="K37" s="178"/>
      <c r="L37" s="184"/>
      <c r="M37" s="184"/>
      <c r="N37" s="184"/>
      <c r="O37" s="178"/>
      <c r="P37" s="178"/>
      <c r="Q37" s="178"/>
      <c r="R37" s="178"/>
      <c r="S37" s="178"/>
    </row>
    <row r="38" spans="9:19" hidden="1" x14ac:dyDescent="0.3">
      <c r="I38" s="178"/>
      <c r="J38" s="178"/>
      <c r="K38" s="178"/>
      <c r="L38" s="184"/>
      <c r="M38" s="184"/>
      <c r="N38" s="184"/>
      <c r="O38" s="178"/>
      <c r="P38" s="178"/>
      <c r="Q38" s="178"/>
      <c r="R38" s="178"/>
      <c r="S38" s="178"/>
    </row>
    <row r="39" spans="9:19" hidden="1" x14ac:dyDescent="0.3">
      <c r="I39" s="178"/>
      <c r="J39" s="178"/>
      <c r="K39" s="178"/>
      <c r="L39" s="184"/>
      <c r="M39" s="184"/>
      <c r="N39" s="184"/>
      <c r="O39" s="178"/>
      <c r="P39" s="178"/>
      <c r="Q39" s="178"/>
      <c r="R39" s="178"/>
      <c r="S39" s="178"/>
    </row>
    <row r="40" spans="9:19" hidden="1" x14ac:dyDescent="0.3">
      <c r="I40" s="178"/>
      <c r="J40" s="178"/>
      <c r="K40" s="178"/>
      <c r="L40" s="184"/>
      <c r="M40" s="184"/>
      <c r="N40" s="184"/>
      <c r="O40" s="178"/>
      <c r="P40" s="178"/>
      <c r="Q40" s="178"/>
      <c r="R40" s="178"/>
      <c r="S40" s="178"/>
    </row>
    <row r="41" spans="9:19" hidden="1" x14ac:dyDescent="0.3">
      <c r="I41" s="178"/>
      <c r="J41" s="178"/>
      <c r="K41" s="178"/>
      <c r="L41" s="184"/>
      <c r="M41" s="184"/>
      <c r="N41" s="184"/>
      <c r="O41" s="178"/>
      <c r="P41" s="178"/>
      <c r="Q41" s="178"/>
      <c r="R41" s="178"/>
      <c r="S41" s="178"/>
    </row>
    <row r="42" spans="9:19" hidden="1" x14ac:dyDescent="0.3">
      <c r="I42" s="178"/>
      <c r="J42" s="178"/>
      <c r="K42" s="178"/>
      <c r="L42" s="184"/>
      <c r="M42" s="184"/>
      <c r="N42" s="184"/>
      <c r="O42" s="178"/>
      <c r="P42" s="178"/>
      <c r="Q42" s="178"/>
      <c r="R42" s="178"/>
      <c r="S42" s="178"/>
    </row>
    <row r="43" spans="9:19" hidden="1" x14ac:dyDescent="0.3">
      <c r="I43" s="178"/>
      <c r="J43" s="178"/>
      <c r="K43" s="178"/>
      <c r="L43" s="184"/>
      <c r="M43" s="184"/>
      <c r="N43" s="184"/>
      <c r="O43" s="178"/>
      <c r="P43" s="178"/>
      <c r="Q43" s="178"/>
      <c r="R43" s="178"/>
      <c r="S43" s="178"/>
    </row>
    <row r="44" spans="9:19" hidden="1" x14ac:dyDescent="0.3">
      <c r="I44" s="178"/>
      <c r="J44" s="178"/>
      <c r="K44" s="178"/>
      <c r="L44" s="184"/>
      <c r="M44" s="184"/>
      <c r="N44" s="184"/>
      <c r="O44" s="178"/>
      <c r="P44" s="178"/>
      <c r="Q44" s="178"/>
      <c r="R44" s="178"/>
      <c r="S44" s="178"/>
    </row>
    <row r="45" spans="9:19" x14ac:dyDescent="0.3">
      <c r="I45" s="178"/>
      <c r="J45" s="178"/>
      <c r="K45" s="178"/>
      <c r="L45" s="184"/>
      <c r="M45" s="184"/>
      <c r="N45" s="184"/>
      <c r="O45" s="178"/>
      <c r="P45" s="178"/>
      <c r="Q45" s="178"/>
      <c r="R45" s="178"/>
      <c r="S45" s="178"/>
    </row>
    <row r="46" spans="9:19" x14ac:dyDescent="0.3">
      <c r="I46" s="178"/>
      <c r="J46" s="178"/>
      <c r="K46" s="178"/>
      <c r="L46" s="184"/>
      <c r="M46" s="184"/>
      <c r="N46" s="184"/>
      <c r="O46" s="178"/>
      <c r="P46" s="178"/>
      <c r="Q46" s="178"/>
      <c r="R46" s="178"/>
      <c r="S46" s="178"/>
    </row>
    <row r="47" spans="9:19" x14ac:dyDescent="0.3">
      <c r="I47" s="178"/>
      <c r="J47" s="178"/>
      <c r="K47" s="178"/>
      <c r="L47" s="184"/>
      <c r="M47" s="184"/>
      <c r="N47" s="184"/>
      <c r="O47" s="178"/>
      <c r="P47" s="178"/>
      <c r="Q47" s="178"/>
      <c r="R47" s="178"/>
      <c r="S47" s="178"/>
    </row>
    <row r="48" spans="9:19" x14ac:dyDescent="0.3">
      <c r="I48" s="178"/>
      <c r="J48" s="178"/>
      <c r="K48" s="178"/>
      <c r="L48" s="184"/>
      <c r="M48" s="184"/>
      <c r="N48" s="184"/>
      <c r="O48" s="178"/>
      <c r="P48" s="178"/>
      <c r="Q48" s="178"/>
      <c r="R48" s="178"/>
      <c r="S48" s="178"/>
    </row>
    <row r="49" spans="9:19" x14ac:dyDescent="0.3">
      <c r="I49" s="178"/>
      <c r="J49" s="178"/>
      <c r="K49" s="178"/>
      <c r="L49" s="184"/>
      <c r="M49" s="184"/>
      <c r="N49" s="184"/>
      <c r="O49" s="178"/>
      <c r="P49" s="178"/>
      <c r="Q49" s="178"/>
      <c r="R49" s="178"/>
      <c r="S49" s="178"/>
    </row>
  </sheetData>
  <sheetProtection algorithmName="SHA-512" hashValue="z4d5k4L40G6h6cK6Hjb48YHsl8CA8v3IHu0wVaqEqwThtFOCOqexPoY1Ax2z2Y5Em+EAiplBJq5otr0ZzhZ2cg==" saltValue="dMFsizAEbKj8WsJsuyZe/g==" spinCount="100000" sheet="1" selectLockedCells="1"/>
  <mergeCells count="3">
    <mergeCell ref="I4:S4"/>
    <mergeCell ref="I5:S5"/>
    <mergeCell ref="I1:S1"/>
  </mergeCells>
  <hyperlinks>
    <hyperlink ref="L16" location="'Y2D Paeds OP'!A1" display="Paedeatric Services" xr:uid="{00000000-0004-0000-0000-000000000000}"/>
    <hyperlink ref="M16" location="'Y2D Adult OP'!A1" display="Adult Services " xr:uid="{00000000-0004-0000-0000-000001000000}"/>
    <hyperlink ref="N10" location="'Q2 Graphs'!A1" display="Graphs " xr:uid="{00000000-0004-0000-0000-000002000000}"/>
    <hyperlink ref="M10" location="'Q2 ADULTS'!A1" display="Adult Services" xr:uid="{00000000-0004-0000-0000-000003000000}"/>
    <hyperlink ref="N9" location="'Q1 Graphs'!A1" display="Graphs " xr:uid="{00000000-0004-0000-0000-000005000000}"/>
    <hyperlink ref="M9" location="'Q1 ADULTS'!A1" display="Adult Services" xr:uid="{00000000-0004-0000-0000-000006000000}"/>
    <hyperlink ref="L9" location="'Q1 PAEDS'!A1" display="Paediatric Services" xr:uid="{00000000-0004-0000-0000-000007000000}"/>
    <hyperlink ref="L11" location="'Q3 PAEDS'!A1" display="Paediatric Services" xr:uid="{00000000-0004-0000-0000-000008000000}"/>
    <hyperlink ref="M11" location="'Q3 ADULTS'!A1" display="Adult Services" xr:uid="{00000000-0004-0000-0000-000009000000}"/>
    <hyperlink ref="N11" location="'Q3 Graphs'!A1" display="Graphs " xr:uid="{00000000-0004-0000-0000-00000A000000}"/>
    <hyperlink ref="L12" location="'Q4 PAEDS'!A1" display="Paediatric Services" xr:uid="{00000000-0004-0000-0000-00000B000000}"/>
    <hyperlink ref="M12" location="'Q4 ADULTS'!A1" display="Adult Services" xr:uid="{00000000-0004-0000-0000-00000C000000}"/>
    <hyperlink ref="N12" location="'Q4 Graphs'!A1" display="Graphs " xr:uid="{00000000-0004-0000-0000-00000D000000}"/>
    <hyperlink ref="L10" location="'Q2 PAEDS'!A1" display="Paediatric Services" xr:uid="{00000000-0004-0000-0000-000004000000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D62"/>
  <sheetViews>
    <sheetView showGridLines="0" zoomScaleNormal="100" workbookViewId="0">
      <selection activeCell="B4" sqref="B4"/>
    </sheetView>
  </sheetViews>
  <sheetFormatPr defaultColWidth="0" defaultRowHeight="0" customHeight="1" zeroHeight="1" x14ac:dyDescent="0.3"/>
  <cols>
    <col min="1" max="1" width="4" style="33" customWidth="1"/>
    <col min="2" max="2" width="59.6640625" style="33" customWidth="1"/>
    <col min="3" max="3" width="11.6640625" style="33" customWidth="1"/>
    <col min="4" max="4" width="7.6640625" style="33" customWidth="1"/>
    <col min="5" max="5" width="10" style="33" customWidth="1"/>
    <col min="6" max="7" width="12" style="33" customWidth="1"/>
    <col min="8" max="8" width="5.109375" style="122" customWidth="1"/>
    <col min="9" max="9" width="6.88671875" style="33" customWidth="1"/>
    <col min="10" max="10" width="5.109375" style="122" customWidth="1"/>
    <col min="11" max="11" width="6.88671875" style="33" customWidth="1"/>
    <col min="12" max="12" width="5.109375" style="122" customWidth="1"/>
    <col min="13" max="13" width="6.88671875" style="33" customWidth="1"/>
    <col min="14" max="14" width="5.109375" style="122" customWidth="1"/>
    <col min="15" max="15" width="6.88671875" style="33" customWidth="1"/>
    <col min="16" max="16" width="11.5546875" style="33" customWidth="1"/>
    <col min="17" max="17" width="5.109375" style="122" customWidth="1"/>
    <col min="18" max="18" width="6.88671875" style="33" customWidth="1"/>
    <col min="19" max="19" width="5.109375" style="122" customWidth="1"/>
    <col min="20" max="20" width="6.88671875" style="33" customWidth="1"/>
    <col min="21" max="21" width="5.109375" style="122" customWidth="1"/>
    <col min="22" max="22" width="6.88671875" style="33" customWidth="1"/>
    <col min="23" max="23" width="5.109375" style="122" customWidth="1"/>
    <col min="24" max="24" width="6.88671875" style="33" customWidth="1"/>
    <col min="25" max="25" width="11.5546875" style="33" customWidth="1"/>
    <col min="26" max="27" width="10.6640625" style="33" customWidth="1"/>
    <col min="28" max="28" width="9.109375" style="33" customWidth="1"/>
    <col min="29" max="30" width="0" style="33" hidden="1" customWidth="1"/>
    <col min="31" max="16384" width="9.109375" style="33" hidden="1"/>
  </cols>
  <sheetData>
    <row r="1" spans="1:28" ht="35.25" customHeight="1" x14ac:dyDescent="0.3">
      <c r="A1" s="10"/>
      <c r="B1" s="96" t="s">
        <v>101</v>
      </c>
      <c r="C1" s="83"/>
      <c r="D1" s="83"/>
      <c r="E1" s="83"/>
      <c r="F1" s="83"/>
      <c r="G1" s="83"/>
      <c r="H1" s="116"/>
      <c r="I1" s="83"/>
      <c r="J1" s="116"/>
      <c r="K1" s="83"/>
      <c r="L1" s="116"/>
      <c r="M1" s="83"/>
      <c r="N1" s="116"/>
      <c r="O1" s="83"/>
      <c r="P1" s="83"/>
      <c r="Q1" s="116"/>
      <c r="R1" s="83"/>
      <c r="S1" s="116"/>
      <c r="T1" s="83"/>
      <c r="U1" s="116"/>
      <c r="V1" s="83"/>
      <c r="W1" s="116"/>
      <c r="X1" s="83"/>
      <c r="Y1" s="83"/>
      <c r="Z1" s="83"/>
      <c r="AA1" s="83"/>
      <c r="AB1" s="83"/>
    </row>
    <row r="2" spans="1:28" s="41" customFormat="1" ht="5.0999999999999996" customHeight="1" x14ac:dyDescent="0.3">
      <c r="B2" s="123"/>
      <c r="C2" s="124"/>
      <c r="D2" s="124"/>
      <c r="E2" s="124"/>
      <c r="F2" s="124"/>
      <c r="G2" s="124"/>
      <c r="H2" s="125"/>
      <c r="I2" s="124"/>
      <c r="J2" s="125"/>
      <c r="K2" s="124"/>
      <c r="L2" s="125"/>
      <c r="M2" s="124"/>
      <c r="N2" s="125"/>
      <c r="O2" s="124"/>
      <c r="P2" s="124"/>
      <c r="Q2" s="125"/>
      <c r="R2" s="124"/>
      <c r="S2" s="125"/>
      <c r="T2" s="124"/>
      <c r="U2" s="125"/>
      <c r="V2" s="124"/>
      <c r="W2" s="125"/>
      <c r="X2" s="124"/>
      <c r="Y2" s="124"/>
      <c r="AB2" s="124"/>
    </row>
    <row r="3" spans="1:28" s="92" customFormat="1" ht="31.5" customHeight="1" x14ac:dyDescent="0.35">
      <c r="B3" s="126" t="s">
        <v>95</v>
      </c>
      <c r="C3" s="93"/>
      <c r="D3" s="93"/>
      <c r="E3" s="93"/>
      <c r="F3" s="93"/>
      <c r="H3" s="117"/>
      <c r="I3" s="93"/>
      <c r="J3" s="117"/>
      <c r="K3" s="93"/>
      <c r="L3" s="117"/>
      <c r="M3" s="94"/>
      <c r="N3" s="117"/>
      <c r="O3" s="94"/>
      <c r="P3" s="94"/>
      <c r="Q3" s="117"/>
      <c r="R3" s="94"/>
      <c r="S3" s="117"/>
      <c r="T3" s="94"/>
      <c r="U3" s="117"/>
      <c r="V3" s="94"/>
      <c r="W3" s="117"/>
      <c r="X3" s="94"/>
      <c r="Y3" s="94"/>
      <c r="Z3" s="93"/>
      <c r="AA3" s="95"/>
    </row>
    <row r="4" spans="1:28" ht="35.4" customHeight="1" thickBot="1" x14ac:dyDescent="0.5">
      <c r="B4" s="127" t="s">
        <v>178</v>
      </c>
      <c r="C4" s="13"/>
      <c r="D4" s="13"/>
      <c r="E4" s="13"/>
      <c r="F4" s="42"/>
      <c r="G4" s="13"/>
      <c r="H4" s="118"/>
      <c r="I4" s="13"/>
      <c r="J4" s="118"/>
      <c r="K4" s="13"/>
      <c r="L4" s="118"/>
      <c r="M4" s="14"/>
      <c r="N4" s="118"/>
      <c r="O4" s="14"/>
      <c r="P4" s="14"/>
      <c r="Q4" s="118"/>
      <c r="R4" s="14"/>
      <c r="S4" s="118"/>
      <c r="T4" s="14"/>
      <c r="U4" s="118"/>
      <c r="V4" s="14"/>
      <c r="W4" s="118"/>
      <c r="X4" s="14"/>
      <c r="Y4" s="14"/>
      <c r="Z4" s="13"/>
      <c r="AA4" s="15"/>
    </row>
    <row r="5" spans="1:28" ht="30.75" customHeight="1" thickTop="1" thickBot="1" x14ac:dyDescent="0.35">
      <c r="B5" s="327" t="s">
        <v>14</v>
      </c>
      <c r="C5" s="328" t="s">
        <v>18</v>
      </c>
      <c r="D5" s="328" t="s">
        <v>65</v>
      </c>
      <c r="E5" s="328" t="s">
        <v>19</v>
      </c>
      <c r="F5" s="288" t="s">
        <v>24</v>
      </c>
      <c r="G5" s="289"/>
      <c r="H5" s="288" t="s">
        <v>27</v>
      </c>
      <c r="I5" s="294"/>
      <c r="J5" s="294"/>
      <c r="K5" s="294"/>
      <c r="L5" s="294"/>
      <c r="M5" s="294"/>
      <c r="N5" s="294"/>
      <c r="O5" s="294"/>
      <c r="P5" s="294"/>
      <c r="Q5" s="294"/>
      <c r="R5" s="294"/>
      <c r="S5" s="294"/>
      <c r="T5" s="294"/>
      <c r="U5" s="294"/>
      <c r="V5" s="294"/>
      <c r="W5" s="294"/>
      <c r="X5" s="294"/>
      <c r="Y5" s="294"/>
      <c r="Z5" s="288" t="s">
        <v>3</v>
      </c>
      <c r="AA5" s="289"/>
    </row>
    <row r="6" spans="1:28" ht="44.1" customHeight="1" thickTop="1" thickBot="1" x14ac:dyDescent="0.35">
      <c r="B6" s="327"/>
      <c r="C6" s="329"/>
      <c r="D6" s="329"/>
      <c r="E6" s="329"/>
      <c r="F6" s="290" t="s">
        <v>25</v>
      </c>
      <c r="G6" s="292" t="s">
        <v>26</v>
      </c>
      <c r="H6" s="288" t="s">
        <v>32</v>
      </c>
      <c r="I6" s="294"/>
      <c r="J6" s="294"/>
      <c r="K6" s="294"/>
      <c r="L6" s="294"/>
      <c r="M6" s="294"/>
      <c r="N6" s="294"/>
      <c r="O6" s="294"/>
      <c r="P6" s="294"/>
      <c r="Q6" s="288" t="s">
        <v>31</v>
      </c>
      <c r="R6" s="294"/>
      <c r="S6" s="294"/>
      <c r="T6" s="294"/>
      <c r="U6" s="294"/>
      <c r="V6" s="294"/>
      <c r="W6" s="294"/>
      <c r="X6" s="294"/>
      <c r="Y6" s="294"/>
      <c r="Z6" s="290" t="s">
        <v>9</v>
      </c>
      <c r="AA6" s="292" t="s">
        <v>17</v>
      </c>
    </row>
    <row r="7" spans="1:28" ht="51.75" customHeight="1" thickTop="1" thickBot="1" x14ac:dyDescent="0.35">
      <c r="B7" s="327"/>
      <c r="C7" s="330"/>
      <c r="D7" s="330"/>
      <c r="E7" s="330"/>
      <c r="F7" s="291"/>
      <c r="G7" s="293"/>
      <c r="H7" s="295" t="s">
        <v>117</v>
      </c>
      <c r="I7" s="296"/>
      <c r="J7" s="297" t="s">
        <v>28</v>
      </c>
      <c r="K7" s="297"/>
      <c r="L7" s="297" t="s">
        <v>29</v>
      </c>
      <c r="M7" s="297"/>
      <c r="N7" s="298" t="s">
        <v>30</v>
      </c>
      <c r="O7" s="297"/>
      <c r="P7" s="228" t="s">
        <v>118</v>
      </c>
      <c r="Q7" s="295" t="s">
        <v>117</v>
      </c>
      <c r="R7" s="296"/>
      <c r="S7" s="297" t="s">
        <v>28</v>
      </c>
      <c r="T7" s="297"/>
      <c r="U7" s="297" t="s">
        <v>29</v>
      </c>
      <c r="V7" s="297"/>
      <c r="W7" s="298" t="s">
        <v>30</v>
      </c>
      <c r="X7" s="297"/>
      <c r="Y7" s="228" t="s">
        <v>118</v>
      </c>
      <c r="Z7" s="291"/>
      <c r="AA7" s="293"/>
    </row>
    <row r="8" spans="1:28" s="82" customFormat="1" ht="21.75" customHeight="1" thickTop="1" thickBot="1" x14ac:dyDescent="0.35">
      <c r="B8" s="27" t="s">
        <v>164</v>
      </c>
      <c r="C8" s="27" t="s">
        <v>23</v>
      </c>
      <c r="D8" s="58">
        <v>1</v>
      </c>
      <c r="E8" s="27" t="s">
        <v>21</v>
      </c>
      <c r="F8" s="213" t="str">
        <f>INDEX(Q3_Paeds,15,7)</f>
        <v>No data</v>
      </c>
      <c r="G8" s="213" t="str">
        <f>INDEX(Q3_Paeds,15,8)</f>
        <v>No data</v>
      </c>
      <c r="H8" s="199" t="str">
        <f>INDEX(Q3_Paeds,15,9)</f>
        <v>No data</v>
      </c>
      <c r="I8" s="200">
        <f>IFERROR(H8/P8,0)</f>
        <v>0</v>
      </c>
      <c r="J8" s="201" t="str">
        <f>INDEX(Q3_Paeds,15,10)</f>
        <v>No data</v>
      </c>
      <c r="K8" s="200">
        <f>IFERROR(J8/P8,0)</f>
        <v>0</v>
      </c>
      <c r="L8" s="201" t="str">
        <f>INDEX(Q3_Paeds,15,11)</f>
        <v>No data</v>
      </c>
      <c r="M8" s="200">
        <f>IFERROR(L8/P8,0)</f>
        <v>0</v>
      </c>
      <c r="N8" s="201" t="str">
        <f>INDEX(Q3_Paeds,15,12)</f>
        <v>No data</v>
      </c>
      <c r="O8" s="200">
        <f>IFERROR(N8/P8,0)</f>
        <v>0</v>
      </c>
      <c r="P8" s="202" t="str">
        <f>INDEX(Q3_Paeds,15,13)</f>
        <v>No data</v>
      </c>
      <c r="Q8" s="199" t="str">
        <f>INDEX(Q3_Paeds,15,15)</f>
        <v>No data</v>
      </c>
      <c r="R8" s="200">
        <f>IFERROR(Q8/Y8,0)</f>
        <v>0</v>
      </c>
      <c r="S8" s="201" t="str">
        <f>INDEX(Q3_Paeds,15,16)</f>
        <v>No data</v>
      </c>
      <c r="T8" s="200">
        <f>IFERROR(S8/Y8,0)</f>
        <v>0</v>
      </c>
      <c r="U8" s="203" t="str">
        <f>INDEX(Q3_Paeds,15,17)</f>
        <v>No data</v>
      </c>
      <c r="V8" s="200">
        <f>IFERROR(U8/Y8,0)</f>
        <v>0</v>
      </c>
      <c r="W8" s="201" t="str">
        <f>INDEX(Q3_Paeds,15,18)</f>
        <v>No data</v>
      </c>
      <c r="X8" s="200">
        <f>IFERROR(W8/Y8,0)</f>
        <v>0</v>
      </c>
      <c r="Y8" s="202" t="str">
        <f>INDEX(Q3_Paeds,15,19)</f>
        <v>No data</v>
      </c>
      <c r="Z8" s="214" t="str">
        <f>INDEX(Q3_Paeds,15,21)</f>
        <v>No data</v>
      </c>
      <c r="AA8" s="215" t="str">
        <f>INDEX(Q3_Paeds,15,22)</f>
        <v>No data</v>
      </c>
    </row>
    <row r="9" spans="1:28" s="8" customFormat="1" ht="21.75" customHeight="1" thickTop="1" thickBot="1" x14ac:dyDescent="0.35">
      <c r="B9" s="28" t="s">
        <v>158</v>
      </c>
      <c r="C9" s="28" t="s">
        <v>23</v>
      </c>
      <c r="D9" s="59">
        <v>2</v>
      </c>
      <c r="E9" s="28" t="s">
        <v>22</v>
      </c>
      <c r="F9" s="216" t="str">
        <f>INDEX(Q3_Paeds,6,7)</f>
        <v>No data</v>
      </c>
      <c r="G9" s="217" t="str">
        <f>INDEX(Q3_Paeds,6,8)</f>
        <v>No data</v>
      </c>
      <c r="H9" s="204" t="str">
        <f>INDEX(Q3_Paeds,6,9)</f>
        <v>No data</v>
      </c>
      <c r="I9" s="205">
        <f>IFERROR(H9/P9,0)</f>
        <v>0</v>
      </c>
      <c r="J9" s="206" t="str">
        <f>INDEX(Q3_Paeds,6,10)</f>
        <v>No data</v>
      </c>
      <c r="K9" s="205">
        <f>IFERROR(J9/P9,0)</f>
        <v>0</v>
      </c>
      <c r="L9" s="206" t="str">
        <f>INDEX(Q3_Paeds,6,11)</f>
        <v>No data</v>
      </c>
      <c r="M9" s="205">
        <f>IFERROR(L9/P9,0)</f>
        <v>0</v>
      </c>
      <c r="N9" s="206" t="str">
        <f>INDEX(Q3_Paeds,6,12)</f>
        <v>No data</v>
      </c>
      <c r="O9" s="205">
        <f>IFERROR(N9/P9,0)</f>
        <v>0</v>
      </c>
      <c r="P9" s="207" t="str">
        <f>INDEX(Q3_Paeds,6,13)</f>
        <v>No data</v>
      </c>
      <c r="Q9" s="208" t="str">
        <f>INDEX(Q3_Paeds,6,15)</f>
        <v>No data</v>
      </c>
      <c r="R9" s="205">
        <f>IFERROR(Q9/Y9,0)</f>
        <v>0</v>
      </c>
      <c r="S9" s="206" t="str">
        <f>INDEX(Q3_Paeds,6,16)</f>
        <v>No data</v>
      </c>
      <c r="T9" s="205">
        <f>IFERROR(S9/Y9,0)</f>
        <v>0</v>
      </c>
      <c r="U9" s="209" t="str">
        <f>INDEX(Q3_Paeds,6,17)</f>
        <v>No data</v>
      </c>
      <c r="V9" s="205">
        <f>IFERROR(U9/Y9,0)</f>
        <v>0</v>
      </c>
      <c r="W9" s="206" t="str">
        <f>INDEX(Q3_Paeds,6,18)</f>
        <v>No data</v>
      </c>
      <c r="X9" s="205">
        <f>IFERROR(W9/Y9,0)</f>
        <v>0</v>
      </c>
      <c r="Y9" s="207" t="str">
        <f>INDEX(Q3_Paeds,6,19)</f>
        <v>No data</v>
      </c>
      <c r="Z9" s="218" t="str">
        <f>INDEX(Q3_Paeds,6,21)</f>
        <v>No data</v>
      </c>
      <c r="AA9" s="219" t="str">
        <f>INDEX(Q3_Paeds,6,22)</f>
        <v>No data</v>
      </c>
    </row>
    <row r="10" spans="1:28" s="8" customFormat="1" ht="21.75" customHeight="1" thickTop="1" thickBot="1" x14ac:dyDescent="0.35">
      <c r="B10" s="25" t="s">
        <v>157</v>
      </c>
      <c r="C10" s="25" t="s">
        <v>23</v>
      </c>
      <c r="D10" s="56">
        <v>3</v>
      </c>
      <c r="E10" s="25" t="s">
        <v>22</v>
      </c>
      <c r="F10" s="213" t="str">
        <f>INDEX(Q3_Paeds,5,7)</f>
        <v>No data</v>
      </c>
      <c r="G10" s="220" t="str">
        <f>INDEX(Q3_Paeds,5,8)</f>
        <v>No data</v>
      </c>
      <c r="H10" s="210" t="str">
        <f>INDEX(Q3_Paeds,5,9)</f>
        <v>No data</v>
      </c>
      <c r="I10" s="200">
        <f>IFERROR(H10/P10,0)</f>
        <v>0</v>
      </c>
      <c r="J10" s="201" t="str">
        <f>INDEX(Q3_Paeds,5,10)</f>
        <v>No data</v>
      </c>
      <c r="K10" s="200">
        <f>IFERROR(J10/P10,0)</f>
        <v>0</v>
      </c>
      <c r="L10" s="201" t="str">
        <f>INDEX(Q3_Paeds,5,11)</f>
        <v>No data</v>
      </c>
      <c r="M10" s="200">
        <f>IFERROR(L10/P10,0)</f>
        <v>0</v>
      </c>
      <c r="N10" s="201" t="str">
        <f>INDEX(Q3_Paeds,5,12)</f>
        <v>No data</v>
      </c>
      <c r="O10" s="200">
        <f>IFERROR(N10/P10,0)</f>
        <v>0</v>
      </c>
      <c r="P10" s="202" t="str">
        <f>INDEX(Q3_Paeds,5,13)</f>
        <v>No data</v>
      </c>
      <c r="Q10" s="199" t="str">
        <f>INDEX(Q3_Paeds,5,15)</f>
        <v>No data</v>
      </c>
      <c r="R10" s="200">
        <f>IFERROR(Q10/Y10,0)</f>
        <v>0</v>
      </c>
      <c r="S10" s="201" t="str">
        <f>INDEX(Q3_Paeds,5,16)</f>
        <v>No data</v>
      </c>
      <c r="T10" s="200">
        <f>IFERROR(S10/Y10,0)</f>
        <v>0</v>
      </c>
      <c r="U10" s="203" t="str">
        <f>INDEX(Q3_Paeds,5,17)</f>
        <v>No data</v>
      </c>
      <c r="V10" s="200">
        <f>IFERROR(U10/Y10,0)</f>
        <v>0</v>
      </c>
      <c r="W10" s="201" t="str">
        <f>INDEX(Q3_Paeds,5,18)</f>
        <v>No data</v>
      </c>
      <c r="X10" s="200">
        <f>IFERROR(W10/Y10,0)</f>
        <v>0</v>
      </c>
      <c r="Y10" s="202" t="str">
        <f>INDEX(Q3_Paeds,5,19)</f>
        <v>No data</v>
      </c>
      <c r="Z10" s="214" t="str">
        <f>INDEX(Q3_Paeds,5,21)</f>
        <v>No data</v>
      </c>
      <c r="AA10" s="215" t="str">
        <f>INDEX(Q3_Paeds,5,22)</f>
        <v>No data</v>
      </c>
    </row>
    <row r="11" spans="1:28" s="8" customFormat="1" ht="21.75" customHeight="1" thickTop="1" thickBot="1" x14ac:dyDescent="0.35">
      <c r="B11" s="29" t="s">
        <v>159</v>
      </c>
      <c r="C11" s="29" t="s">
        <v>23</v>
      </c>
      <c r="D11" s="60">
        <v>3</v>
      </c>
      <c r="E11" s="29" t="s">
        <v>22</v>
      </c>
      <c r="F11" s="216" t="str">
        <f>INDEX(Q3_Paeds,7,7)</f>
        <v>No data</v>
      </c>
      <c r="G11" s="217" t="str">
        <f>INDEX(Q3_Paeds,7,8)</f>
        <v>No data</v>
      </c>
      <c r="H11" s="204" t="str">
        <f>INDEX(Q3_Paeds,7,9)</f>
        <v>No data</v>
      </c>
      <c r="I11" s="205">
        <f t="shared" ref="I11:I25" si="0">IFERROR(H11/P11,0)</f>
        <v>0</v>
      </c>
      <c r="J11" s="206" t="str">
        <f>INDEX(Q3_Paeds,7,10)</f>
        <v>No data</v>
      </c>
      <c r="K11" s="205">
        <f t="shared" ref="K11:K25" si="1">IFERROR(J11/P11,0)</f>
        <v>0</v>
      </c>
      <c r="L11" s="206" t="str">
        <f>INDEX(Q3_Paeds,7,11)</f>
        <v>No data</v>
      </c>
      <c r="M11" s="205">
        <f t="shared" ref="M11:M25" si="2">IFERROR(L11/P11,0)</f>
        <v>0</v>
      </c>
      <c r="N11" s="206" t="str">
        <f>INDEX(Q3_Paeds,7,12)</f>
        <v>No data</v>
      </c>
      <c r="O11" s="205">
        <f t="shared" ref="O11:O25" si="3">IFERROR(N11/P11,0)</f>
        <v>0</v>
      </c>
      <c r="P11" s="207" t="str">
        <f>INDEX(Q3_Paeds,7,13)</f>
        <v>No data</v>
      </c>
      <c r="Q11" s="208" t="str">
        <f>INDEX(Q3_Paeds,7,15)</f>
        <v>No data</v>
      </c>
      <c r="R11" s="205">
        <f t="shared" ref="R11:R25" si="4">IFERROR(Q11/Y11,0)</f>
        <v>0</v>
      </c>
      <c r="S11" s="206" t="str">
        <f>INDEX(Q3_Paeds,7,16)</f>
        <v>No data</v>
      </c>
      <c r="T11" s="205">
        <f t="shared" ref="T11:T25" si="5">IFERROR(S11/Y11,0)</f>
        <v>0</v>
      </c>
      <c r="U11" s="209" t="str">
        <f>INDEX(Q3_Paeds,7,17)</f>
        <v>No data</v>
      </c>
      <c r="V11" s="205">
        <f t="shared" ref="V11:V25" si="6">IFERROR(U11/Y11,0)</f>
        <v>0</v>
      </c>
      <c r="W11" s="206" t="str">
        <f>INDEX(Q3_Paeds,7,18)</f>
        <v>No data</v>
      </c>
      <c r="X11" s="205">
        <f t="shared" ref="X11:X25" si="7">IFERROR(W11/Y11,0)</f>
        <v>0</v>
      </c>
      <c r="Y11" s="207" t="str">
        <f>INDEX(Q3_Paeds,7,19)</f>
        <v>No data</v>
      </c>
      <c r="Z11" s="218" t="str">
        <f>INDEX(Q3_Paeds,7,21)</f>
        <v>No data</v>
      </c>
      <c r="AA11" s="219" t="str">
        <f>INDEX(Q3_Paeds,7,22)</f>
        <v>No data</v>
      </c>
    </row>
    <row r="12" spans="1:28" s="8" customFormat="1" ht="21.75" customHeight="1" thickTop="1" thickBot="1" x14ac:dyDescent="0.35">
      <c r="B12" s="27" t="s">
        <v>160</v>
      </c>
      <c r="C12" s="27" t="s">
        <v>23</v>
      </c>
      <c r="D12" s="58">
        <v>3</v>
      </c>
      <c r="E12" s="27" t="s">
        <v>22</v>
      </c>
      <c r="F12" s="213" t="str">
        <f>INDEX(Q3_Paeds,8,7)</f>
        <v>No data</v>
      </c>
      <c r="G12" s="220" t="str">
        <f>INDEX(Q3_Paeds,8,8)</f>
        <v>No data</v>
      </c>
      <c r="H12" s="210" t="str">
        <f>INDEX(Q3_Paeds,8,9)</f>
        <v>No data</v>
      </c>
      <c r="I12" s="200">
        <f t="shared" si="0"/>
        <v>0</v>
      </c>
      <c r="J12" s="201" t="str">
        <f>INDEX(Q3_Paeds,8,10)</f>
        <v>No data</v>
      </c>
      <c r="K12" s="200">
        <f t="shared" si="1"/>
        <v>0</v>
      </c>
      <c r="L12" s="201" t="str">
        <f>INDEX(Q3_Paeds,8,11)</f>
        <v>No data</v>
      </c>
      <c r="M12" s="200">
        <f t="shared" si="2"/>
        <v>0</v>
      </c>
      <c r="N12" s="201" t="str">
        <f>INDEX(Q3_Paeds,8,12)</f>
        <v>No data</v>
      </c>
      <c r="O12" s="200">
        <f t="shared" si="3"/>
        <v>0</v>
      </c>
      <c r="P12" s="202" t="str">
        <f>INDEX(Q3_Paeds,8,13)</f>
        <v>No data</v>
      </c>
      <c r="Q12" s="199" t="str">
        <f>INDEX(Q3_Paeds,8,15)</f>
        <v>No data</v>
      </c>
      <c r="R12" s="200">
        <f t="shared" si="4"/>
        <v>0</v>
      </c>
      <c r="S12" s="201" t="str">
        <f>INDEX(Q3_Paeds,8,16)</f>
        <v>No data</v>
      </c>
      <c r="T12" s="200">
        <f t="shared" si="5"/>
        <v>0</v>
      </c>
      <c r="U12" s="203" t="str">
        <f>INDEX(Q3_Paeds,8,17)</f>
        <v>No data</v>
      </c>
      <c r="V12" s="200">
        <f t="shared" si="6"/>
        <v>0</v>
      </c>
      <c r="W12" s="201" t="str">
        <f>INDEX(Q3_Paeds,8,18)</f>
        <v>No data</v>
      </c>
      <c r="X12" s="200">
        <f t="shared" si="7"/>
        <v>0</v>
      </c>
      <c r="Y12" s="202" t="str">
        <f>INDEX(Q3_Paeds,8,19)</f>
        <v>No data</v>
      </c>
      <c r="Z12" s="214" t="str">
        <f>INDEX(Q3_Paeds,8,21)</f>
        <v>No data</v>
      </c>
      <c r="AA12" s="215" t="str">
        <f>INDEX(Q3_Paeds,8,22)</f>
        <v>No data</v>
      </c>
    </row>
    <row r="13" spans="1:28" s="8" customFormat="1" ht="21.75" customHeight="1" thickTop="1" thickBot="1" x14ac:dyDescent="0.35">
      <c r="B13" s="28" t="s">
        <v>161</v>
      </c>
      <c r="C13" s="28" t="s">
        <v>23</v>
      </c>
      <c r="D13" s="59">
        <v>3</v>
      </c>
      <c r="E13" s="28" t="s">
        <v>22</v>
      </c>
      <c r="F13" s="216" t="str">
        <f>INDEX(Q3_Paeds,9,7)</f>
        <v>No data</v>
      </c>
      <c r="G13" s="217" t="str">
        <f>INDEX(Q3_Paeds,9,8)</f>
        <v>No data</v>
      </c>
      <c r="H13" s="204" t="str">
        <f>INDEX(Q3_Paeds,9,9)</f>
        <v>No data</v>
      </c>
      <c r="I13" s="205">
        <f t="shared" si="0"/>
        <v>0</v>
      </c>
      <c r="J13" s="206" t="str">
        <f>INDEX(Q3_Paeds,9,10)</f>
        <v>No data</v>
      </c>
      <c r="K13" s="205">
        <f t="shared" si="1"/>
        <v>0</v>
      </c>
      <c r="L13" s="206" t="str">
        <f>INDEX(Q3_Paeds,9,11)</f>
        <v>No data</v>
      </c>
      <c r="M13" s="205">
        <f t="shared" si="2"/>
        <v>0</v>
      </c>
      <c r="N13" s="206" t="str">
        <f>INDEX(Q3_Paeds,9,12)</f>
        <v>No data</v>
      </c>
      <c r="O13" s="205">
        <f t="shared" si="3"/>
        <v>0</v>
      </c>
      <c r="P13" s="207" t="str">
        <f>INDEX(Q3_Paeds,9,13)</f>
        <v>No data</v>
      </c>
      <c r="Q13" s="208" t="str">
        <f>INDEX(Q3_Paeds,9,15)</f>
        <v>No data</v>
      </c>
      <c r="R13" s="205">
        <f t="shared" si="4"/>
        <v>0</v>
      </c>
      <c r="S13" s="206" t="str">
        <f>INDEX(Q3_Paeds,9,16)</f>
        <v>No data</v>
      </c>
      <c r="T13" s="205">
        <f t="shared" si="5"/>
        <v>0</v>
      </c>
      <c r="U13" s="209" t="str">
        <f>INDEX(Q3_Paeds,9,17)</f>
        <v>No data</v>
      </c>
      <c r="V13" s="205">
        <f t="shared" si="6"/>
        <v>0</v>
      </c>
      <c r="W13" s="206" t="str">
        <f>INDEX(Q3_Paeds,9,18)</f>
        <v>No data</v>
      </c>
      <c r="X13" s="205">
        <f t="shared" si="7"/>
        <v>0</v>
      </c>
      <c r="Y13" s="207" t="str">
        <f>INDEX(Q3_Paeds,9,19)</f>
        <v>No data</v>
      </c>
      <c r="Z13" s="218" t="str">
        <f>INDEX(Q3_Paeds,9,21)</f>
        <v>No data</v>
      </c>
      <c r="AA13" s="219" t="str">
        <f>INDEX(Q3_Paeds,9,22)</f>
        <v>No data</v>
      </c>
    </row>
    <row r="14" spans="1:28" s="8" customFormat="1" ht="21.75" customHeight="1" thickTop="1" thickBot="1" x14ac:dyDescent="0.35">
      <c r="B14" s="27" t="s">
        <v>165</v>
      </c>
      <c r="C14" s="27" t="s">
        <v>23</v>
      </c>
      <c r="D14" s="58">
        <v>3</v>
      </c>
      <c r="E14" s="27" t="s">
        <v>22</v>
      </c>
      <c r="F14" s="213" t="str">
        <f>INDEX(Q3_Paeds,10,7)</f>
        <v>No data</v>
      </c>
      <c r="G14" s="220" t="str">
        <f>INDEX(Q3_Paeds,10,8)</f>
        <v>No data</v>
      </c>
      <c r="H14" s="210" t="str">
        <f>INDEX(Q3_Paeds,10,9)</f>
        <v>No data</v>
      </c>
      <c r="I14" s="200">
        <f t="shared" si="0"/>
        <v>0</v>
      </c>
      <c r="J14" s="201" t="str">
        <f>INDEX(Q3_Paeds,10,10)</f>
        <v>No data</v>
      </c>
      <c r="K14" s="200">
        <f t="shared" si="1"/>
        <v>0</v>
      </c>
      <c r="L14" s="201" t="str">
        <f>INDEX(Q3_Paeds,10,11)</f>
        <v>No data</v>
      </c>
      <c r="M14" s="200">
        <f t="shared" si="2"/>
        <v>0</v>
      </c>
      <c r="N14" s="201" t="str">
        <f>INDEX(Q3_Paeds,10,12)</f>
        <v>No data</v>
      </c>
      <c r="O14" s="200">
        <f t="shared" si="3"/>
        <v>0</v>
      </c>
      <c r="P14" s="202" t="str">
        <f>INDEX(Q3_Paeds,10,13)</f>
        <v>No data</v>
      </c>
      <c r="Q14" s="199" t="str">
        <f>INDEX(Q3_Paeds,10,15)</f>
        <v>No data</v>
      </c>
      <c r="R14" s="200">
        <f t="shared" si="4"/>
        <v>0</v>
      </c>
      <c r="S14" s="201" t="str">
        <f>INDEX(Q3_Paeds,10,16)</f>
        <v>No data</v>
      </c>
      <c r="T14" s="200">
        <f t="shared" si="5"/>
        <v>0</v>
      </c>
      <c r="U14" s="203" t="str">
        <f>INDEX(Q3_Paeds,10,17)</f>
        <v>No data</v>
      </c>
      <c r="V14" s="200">
        <f t="shared" si="6"/>
        <v>0</v>
      </c>
      <c r="W14" s="201" t="str">
        <f>INDEX(Q3_Paeds,10,18)</f>
        <v>No data</v>
      </c>
      <c r="X14" s="200">
        <f t="shared" si="7"/>
        <v>0</v>
      </c>
      <c r="Y14" s="202" t="str">
        <f>INDEX(Q3_Paeds,10,19)</f>
        <v>No data</v>
      </c>
      <c r="Z14" s="214" t="str">
        <f>INDEX(Q3_Paeds,10,21)</f>
        <v>No data</v>
      </c>
      <c r="AA14" s="215" t="str">
        <f>INDEX(Q3_Paeds,10,22)</f>
        <v>No data</v>
      </c>
    </row>
    <row r="15" spans="1:28" s="8" customFormat="1" ht="21.75" customHeight="1" thickTop="1" thickBot="1" x14ac:dyDescent="0.35">
      <c r="B15" s="28" t="s">
        <v>166</v>
      </c>
      <c r="C15" s="28" t="s">
        <v>23</v>
      </c>
      <c r="D15" s="59">
        <v>3</v>
      </c>
      <c r="E15" s="28" t="s">
        <v>22</v>
      </c>
      <c r="F15" s="216" t="str">
        <f>INDEX(Q3_Paeds,11,7)</f>
        <v>No data</v>
      </c>
      <c r="G15" s="217" t="str">
        <f>INDEX(Q3_Paeds,11,8)</f>
        <v>No data</v>
      </c>
      <c r="H15" s="204" t="str">
        <f>INDEX(Q3_Paeds,11,9)</f>
        <v>No data</v>
      </c>
      <c r="I15" s="205">
        <f t="shared" si="0"/>
        <v>0</v>
      </c>
      <c r="J15" s="206" t="str">
        <f>INDEX(Q3_Paeds,11,10)</f>
        <v>No data</v>
      </c>
      <c r="K15" s="205">
        <f t="shared" si="1"/>
        <v>0</v>
      </c>
      <c r="L15" s="206" t="str">
        <f>INDEX(Q3_Paeds,11,11)</f>
        <v>No data</v>
      </c>
      <c r="M15" s="205">
        <f t="shared" si="2"/>
        <v>0</v>
      </c>
      <c r="N15" s="206" t="str">
        <f>INDEX(Q3_Paeds,11,12)</f>
        <v>No data</v>
      </c>
      <c r="O15" s="205">
        <f t="shared" si="3"/>
        <v>0</v>
      </c>
      <c r="P15" s="207" t="str">
        <f>INDEX(Q3_Paeds,11,13)</f>
        <v>No data</v>
      </c>
      <c r="Q15" s="208" t="str">
        <f>INDEX(Q3_Paeds,11,15)</f>
        <v>No data</v>
      </c>
      <c r="R15" s="205">
        <f t="shared" si="4"/>
        <v>0</v>
      </c>
      <c r="S15" s="206" t="str">
        <f>INDEX(Q3_Paeds,11,16)</f>
        <v>No data</v>
      </c>
      <c r="T15" s="205">
        <f t="shared" si="5"/>
        <v>0</v>
      </c>
      <c r="U15" s="209" t="str">
        <f>INDEX(Q3_Paeds,11,17)</f>
        <v>No data</v>
      </c>
      <c r="V15" s="205">
        <f t="shared" si="6"/>
        <v>0</v>
      </c>
      <c r="W15" s="206" t="str">
        <f>INDEX(Q3_Paeds,11,18)</f>
        <v>No data</v>
      </c>
      <c r="X15" s="205">
        <f t="shared" si="7"/>
        <v>0</v>
      </c>
      <c r="Y15" s="207" t="str">
        <f>INDEX(Q3_Paeds,11,19)</f>
        <v>No data</v>
      </c>
      <c r="Z15" s="218" t="str">
        <f>INDEX(Q3_Paeds,11,21)</f>
        <v>No data</v>
      </c>
      <c r="AA15" s="219" t="str">
        <f>INDEX(Q3_Paeds,11,22)</f>
        <v>No data</v>
      </c>
    </row>
    <row r="16" spans="1:28" s="8" customFormat="1" ht="21.75" customHeight="1" thickTop="1" thickBot="1" x14ac:dyDescent="0.35">
      <c r="B16" s="30" t="s">
        <v>162</v>
      </c>
      <c r="C16" s="30" t="s">
        <v>23</v>
      </c>
      <c r="D16" s="61">
        <v>3</v>
      </c>
      <c r="E16" s="30" t="s">
        <v>22</v>
      </c>
      <c r="F16" s="213" t="str">
        <f>INDEX(Q3_Paeds,12,7)</f>
        <v>No data</v>
      </c>
      <c r="G16" s="220" t="str">
        <f>INDEX(Q3_Paeds,12,8)</f>
        <v>No data</v>
      </c>
      <c r="H16" s="210" t="str">
        <f>INDEX(Q3_Paeds,12,9)</f>
        <v>No data</v>
      </c>
      <c r="I16" s="200">
        <f t="shared" si="0"/>
        <v>0</v>
      </c>
      <c r="J16" s="201" t="str">
        <f>INDEX(Q3_Paeds,12,10)</f>
        <v>No data</v>
      </c>
      <c r="K16" s="200">
        <f t="shared" si="1"/>
        <v>0</v>
      </c>
      <c r="L16" s="201" t="str">
        <f>INDEX(Q3_Paeds,12,11)</f>
        <v>No data</v>
      </c>
      <c r="M16" s="200">
        <f t="shared" si="2"/>
        <v>0</v>
      </c>
      <c r="N16" s="201" t="str">
        <f>INDEX(Q3_Paeds,12,12)</f>
        <v>No data</v>
      </c>
      <c r="O16" s="200">
        <f t="shared" si="3"/>
        <v>0</v>
      </c>
      <c r="P16" s="202" t="str">
        <f>INDEX(Q3_Paeds,12,13)</f>
        <v>No data</v>
      </c>
      <c r="Q16" s="199" t="str">
        <f>INDEX(Q3_Paeds,12,15)</f>
        <v>No data</v>
      </c>
      <c r="R16" s="200">
        <f t="shared" si="4"/>
        <v>0</v>
      </c>
      <c r="S16" s="201" t="str">
        <f>INDEX(Q3_Paeds,12,16)</f>
        <v>No data</v>
      </c>
      <c r="T16" s="200">
        <f t="shared" si="5"/>
        <v>0</v>
      </c>
      <c r="U16" s="203" t="str">
        <f>INDEX(Q3_Paeds,12,17)</f>
        <v>No data</v>
      </c>
      <c r="V16" s="200">
        <f t="shared" si="6"/>
        <v>0</v>
      </c>
      <c r="W16" s="201" t="str">
        <f>INDEX(Q3_Paeds,12,18)</f>
        <v>No data</v>
      </c>
      <c r="X16" s="200">
        <f t="shared" si="7"/>
        <v>0</v>
      </c>
      <c r="Y16" s="202" t="str">
        <f>INDEX(Q3_Paeds,12,19)</f>
        <v>No data</v>
      </c>
      <c r="Z16" s="214" t="str">
        <f>INDEX(Q3_Paeds,12,21)</f>
        <v>No data</v>
      </c>
      <c r="AA16" s="215" t="str">
        <f>INDEX(Q3_Paeds,12,22)</f>
        <v>No data</v>
      </c>
    </row>
    <row r="17" spans="2:27" s="8" customFormat="1" ht="21.75" customHeight="1" thickTop="1" thickBot="1" x14ac:dyDescent="0.35">
      <c r="B17" s="28" t="s">
        <v>58</v>
      </c>
      <c r="C17" s="28" t="s">
        <v>23</v>
      </c>
      <c r="D17" s="59">
        <v>3</v>
      </c>
      <c r="E17" s="28" t="s">
        <v>21</v>
      </c>
      <c r="F17" s="216" t="str">
        <f>INDEX(Q3_Paeds,13,7)</f>
        <v>No data</v>
      </c>
      <c r="G17" s="217" t="str">
        <f>INDEX(Q3_Paeds,13,8)</f>
        <v>No data</v>
      </c>
      <c r="H17" s="204" t="str">
        <f>INDEX(Q3_Paeds,13,9)</f>
        <v>No data</v>
      </c>
      <c r="I17" s="205">
        <f t="shared" si="0"/>
        <v>0</v>
      </c>
      <c r="J17" s="206" t="str">
        <f>INDEX(Q3_Paeds,13,10)</f>
        <v>No data</v>
      </c>
      <c r="K17" s="205">
        <f t="shared" si="1"/>
        <v>0</v>
      </c>
      <c r="L17" s="206" t="str">
        <f>INDEX(Q3_Paeds,13,11)</f>
        <v>No data</v>
      </c>
      <c r="M17" s="205">
        <f t="shared" si="2"/>
        <v>0</v>
      </c>
      <c r="N17" s="206" t="str">
        <f>INDEX(Q3_Paeds,13,12)</f>
        <v>No data</v>
      </c>
      <c r="O17" s="205">
        <f t="shared" si="3"/>
        <v>0</v>
      </c>
      <c r="P17" s="207" t="str">
        <f>INDEX(Q3_Paeds,13,13)</f>
        <v>No data</v>
      </c>
      <c r="Q17" s="208" t="str">
        <f>INDEX(Q3_Paeds,13,15)</f>
        <v>No data</v>
      </c>
      <c r="R17" s="205">
        <f t="shared" si="4"/>
        <v>0</v>
      </c>
      <c r="S17" s="206" t="str">
        <f>INDEX(Q3_Paeds,13,16)</f>
        <v>No data</v>
      </c>
      <c r="T17" s="205">
        <f t="shared" si="5"/>
        <v>0</v>
      </c>
      <c r="U17" s="209" t="str">
        <f>INDEX(Q3_Paeds,13,17)</f>
        <v>No data</v>
      </c>
      <c r="V17" s="205">
        <f t="shared" si="6"/>
        <v>0</v>
      </c>
      <c r="W17" s="206" t="str">
        <f>INDEX(Q3_Paeds,13,18)</f>
        <v>No data</v>
      </c>
      <c r="X17" s="205">
        <f t="shared" si="7"/>
        <v>0</v>
      </c>
      <c r="Y17" s="207" t="str">
        <f>INDEX(Q3_Paeds,13,19)</f>
        <v>No data</v>
      </c>
      <c r="Z17" s="218" t="str">
        <f>INDEX(Q3_Paeds,13,21)</f>
        <v>No data</v>
      </c>
      <c r="AA17" s="219" t="str">
        <f>INDEX(Q3_Paeds,13,22)</f>
        <v>No data</v>
      </c>
    </row>
    <row r="18" spans="2:27" s="8" customFormat="1" ht="21.75" customHeight="1" thickTop="1" thickBot="1" x14ac:dyDescent="0.35">
      <c r="B18" s="27" t="s">
        <v>59</v>
      </c>
      <c r="C18" s="27" t="s">
        <v>23</v>
      </c>
      <c r="D18" s="58">
        <v>3</v>
      </c>
      <c r="E18" s="27" t="s">
        <v>21</v>
      </c>
      <c r="F18" s="213" t="str">
        <f>INDEX(Q3_Paeds,14,7)</f>
        <v>No data</v>
      </c>
      <c r="G18" s="220" t="str">
        <f>INDEX(Q3_Paeds,14,8)</f>
        <v>No data</v>
      </c>
      <c r="H18" s="210" t="str">
        <f>INDEX(Q3_Paeds,14,9)</f>
        <v>No data</v>
      </c>
      <c r="I18" s="200">
        <f t="shared" si="0"/>
        <v>0</v>
      </c>
      <c r="J18" s="201" t="str">
        <f>INDEX(Q3_Paeds,14,10)</f>
        <v>No data</v>
      </c>
      <c r="K18" s="200">
        <f t="shared" si="1"/>
        <v>0</v>
      </c>
      <c r="L18" s="201" t="str">
        <f>INDEX(Q3_Paeds,14,11)</f>
        <v>No data</v>
      </c>
      <c r="M18" s="200">
        <f t="shared" si="2"/>
        <v>0</v>
      </c>
      <c r="N18" s="201" t="str">
        <f>INDEX(Q3_Paeds,14,12)</f>
        <v>No data</v>
      </c>
      <c r="O18" s="200">
        <f t="shared" si="3"/>
        <v>0</v>
      </c>
      <c r="P18" s="202" t="str">
        <f>INDEX(Q3_Paeds,14,13)</f>
        <v>No data</v>
      </c>
      <c r="Q18" s="199" t="str">
        <f>INDEX(Q3_Paeds,14,15)</f>
        <v>No data</v>
      </c>
      <c r="R18" s="200">
        <f t="shared" si="4"/>
        <v>0</v>
      </c>
      <c r="S18" s="201" t="str">
        <f>INDEX(Q3_Paeds,14,16)</f>
        <v>No data</v>
      </c>
      <c r="T18" s="200">
        <f t="shared" si="5"/>
        <v>0</v>
      </c>
      <c r="U18" s="203" t="str">
        <f>INDEX(Q3_Paeds,14,17)</f>
        <v>No data</v>
      </c>
      <c r="V18" s="200">
        <f t="shared" si="6"/>
        <v>0</v>
      </c>
      <c r="W18" s="201" t="str">
        <f>INDEX(Q3_Paeds,14,18)</f>
        <v>No data</v>
      </c>
      <c r="X18" s="200">
        <f t="shared" si="7"/>
        <v>0</v>
      </c>
      <c r="Y18" s="202" t="str">
        <f>INDEX(Q3_Paeds,14,19)</f>
        <v>No data</v>
      </c>
      <c r="Z18" s="214" t="str">
        <f>INDEX(Q3_Paeds,14,21)</f>
        <v>No data</v>
      </c>
      <c r="AA18" s="215" t="str">
        <f>INDEX(Q3_Paeds,14,22)</f>
        <v>No data</v>
      </c>
    </row>
    <row r="19" spans="2:27" s="8" customFormat="1" ht="21.75" customHeight="1" thickTop="1" thickBot="1" x14ac:dyDescent="0.35">
      <c r="B19" s="28" t="s">
        <v>60</v>
      </c>
      <c r="C19" s="28" t="s">
        <v>23</v>
      </c>
      <c r="D19" s="59">
        <v>3</v>
      </c>
      <c r="E19" s="28" t="s">
        <v>21</v>
      </c>
      <c r="F19" s="216" t="str">
        <f>INDEX(Q3_Paeds,16,7)</f>
        <v>No data</v>
      </c>
      <c r="G19" s="217" t="str">
        <f>INDEX(Q3_Paeds,16,8)</f>
        <v>No data</v>
      </c>
      <c r="H19" s="204" t="str">
        <f>INDEX(Q3_Paeds,16,9)</f>
        <v>No data</v>
      </c>
      <c r="I19" s="205">
        <f t="shared" si="0"/>
        <v>0</v>
      </c>
      <c r="J19" s="206" t="str">
        <f>INDEX(Q3_Paeds,16,10)</f>
        <v>No data</v>
      </c>
      <c r="K19" s="205">
        <f t="shared" si="1"/>
        <v>0</v>
      </c>
      <c r="L19" s="206" t="str">
        <f>INDEX(Q3_Paeds,16,11)</f>
        <v>No data</v>
      </c>
      <c r="M19" s="205">
        <f t="shared" si="2"/>
        <v>0</v>
      </c>
      <c r="N19" s="206" t="str">
        <f>INDEX(Q3_Paeds,16,12)</f>
        <v>No data</v>
      </c>
      <c r="O19" s="205">
        <f t="shared" si="3"/>
        <v>0</v>
      </c>
      <c r="P19" s="207" t="str">
        <f>INDEX(Q3_Paeds,16,13)</f>
        <v>No data</v>
      </c>
      <c r="Q19" s="208" t="str">
        <f>INDEX(Q3_Paeds,16,15)</f>
        <v>No data</v>
      </c>
      <c r="R19" s="205">
        <f t="shared" si="4"/>
        <v>0</v>
      </c>
      <c r="S19" s="206" t="str">
        <f>INDEX(Q3_Paeds,16,16)</f>
        <v>No data</v>
      </c>
      <c r="T19" s="205">
        <f t="shared" si="5"/>
        <v>0</v>
      </c>
      <c r="U19" s="209" t="str">
        <f>INDEX(Q3_Paeds,16,17)</f>
        <v>No data</v>
      </c>
      <c r="V19" s="205">
        <f t="shared" si="6"/>
        <v>0</v>
      </c>
      <c r="W19" s="206" t="str">
        <f>INDEX(Q3_Paeds,16,18)</f>
        <v>No data</v>
      </c>
      <c r="X19" s="205">
        <f t="shared" si="7"/>
        <v>0</v>
      </c>
      <c r="Y19" s="207" t="str">
        <f>INDEX(Q3_Paeds,16,19)</f>
        <v>No data</v>
      </c>
      <c r="Z19" s="218" t="str">
        <f>INDEX(Q3_Paeds,16,21)</f>
        <v>No data</v>
      </c>
      <c r="AA19" s="219" t="str">
        <f>INDEX(Q3_Paeds,16,22)</f>
        <v>No data</v>
      </c>
    </row>
    <row r="20" spans="2:27" s="8" customFormat="1" ht="21.75" customHeight="1" thickTop="1" thickBot="1" x14ac:dyDescent="0.35">
      <c r="B20" s="27" t="s">
        <v>56</v>
      </c>
      <c r="C20" s="27" t="s">
        <v>23</v>
      </c>
      <c r="D20" s="58">
        <v>3</v>
      </c>
      <c r="E20" s="27" t="s">
        <v>21</v>
      </c>
      <c r="F20" s="213" t="str">
        <f>INDEX(Q3_Paeds,17,7)</f>
        <v>No data</v>
      </c>
      <c r="G20" s="220" t="str">
        <f>INDEX(Q3_Paeds,17,8)</f>
        <v>No data</v>
      </c>
      <c r="H20" s="210" t="str">
        <f>INDEX(Q3_Paeds,17,9)</f>
        <v>No data</v>
      </c>
      <c r="I20" s="200">
        <f t="shared" si="0"/>
        <v>0</v>
      </c>
      <c r="J20" s="201" t="str">
        <f>INDEX(Q3_Paeds,17,10)</f>
        <v>No data</v>
      </c>
      <c r="K20" s="200">
        <f t="shared" si="1"/>
        <v>0</v>
      </c>
      <c r="L20" s="201" t="str">
        <f>INDEX(Q3_Paeds,17,11)</f>
        <v>No data</v>
      </c>
      <c r="M20" s="200">
        <f t="shared" si="2"/>
        <v>0</v>
      </c>
      <c r="N20" s="201" t="str">
        <f>INDEX(Q3_Paeds,17,12)</f>
        <v>No data</v>
      </c>
      <c r="O20" s="200">
        <f t="shared" si="3"/>
        <v>0</v>
      </c>
      <c r="P20" s="202" t="str">
        <f>INDEX(Q3_Paeds,17,13)</f>
        <v>No data</v>
      </c>
      <c r="Q20" s="199" t="str">
        <f>INDEX(Q3_Paeds,17,15)</f>
        <v>No data</v>
      </c>
      <c r="R20" s="200">
        <f t="shared" si="4"/>
        <v>0</v>
      </c>
      <c r="S20" s="201" t="str">
        <f>INDEX(Q3_Paeds,17,16)</f>
        <v>No data</v>
      </c>
      <c r="T20" s="200">
        <f t="shared" si="5"/>
        <v>0</v>
      </c>
      <c r="U20" s="203" t="str">
        <f>INDEX(Q3_Paeds,17,17)</f>
        <v>No data</v>
      </c>
      <c r="V20" s="200">
        <f t="shared" si="6"/>
        <v>0</v>
      </c>
      <c r="W20" s="201" t="str">
        <f>INDEX(Q3_Paeds,17,18)</f>
        <v>No data</v>
      </c>
      <c r="X20" s="200">
        <f t="shared" si="7"/>
        <v>0</v>
      </c>
      <c r="Y20" s="202" t="str">
        <f>INDEX(Q3_Paeds,17,19)</f>
        <v>No data</v>
      </c>
      <c r="Z20" s="214" t="str">
        <f>INDEX(Q3_Paeds,17,21)</f>
        <v>No data</v>
      </c>
      <c r="AA20" s="215" t="str">
        <f>INDEX(Q3_Paeds,17,22)</f>
        <v>No data</v>
      </c>
    </row>
    <row r="21" spans="2:27" s="8" customFormat="1" ht="21.75" customHeight="1" thickTop="1" thickBot="1" x14ac:dyDescent="0.35">
      <c r="B21" s="28" t="s">
        <v>61</v>
      </c>
      <c r="C21" s="28" t="s">
        <v>23</v>
      </c>
      <c r="D21" s="59">
        <v>3</v>
      </c>
      <c r="E21" s="28" t="s">
        <v>21</v>
      </c>
      <c r="F21" s="216" t="str">
        <f>INDEX(Q3_Paeds,18,7)</f>
        <v>No data</v>
      </c>
      <c r="G21" s="217" t="str">
        <f>INDEX(Q3_Paeds,18,8)</f>
        <v>No data</v>
      </c>
      <c r="H21" s="204" t="str">
        <f>INDEX(Q3_Paeds,18,9)</f>
        <v>No data</v>
      </c>
      <c r="I21" s="205">
        <f t="shared" si="0"/>
        <v>0</v>
      </c>
      <c r="J21" s="206" t="str">
        <f>INDEX(Q3_Paeds,18,10)</f>
        <v>No data</v>
      </c>
      <c r="K21" s="205">
        <f t="shared" si="1"/>
        <v>0</v>
      </c>
      <c r="L21" s="206" t="str">
        <f>INDEX(Q3_Paeds,18,11)</f>
        <v>No data</v>
      </c>
      <c r="M21" s="205">
        <f t="shared" si="2"/>
        <v>0</v>
      </c>
      <c r="N21" s="206" t="str">
        <f>INDEX(Q3_Paeds,18,12)</f>
        <v>No data</v>
      </c>
      <c r="O21" s="205">
        <f t="shared" si="3"/>
        <v>0</v>
      </c>
      <c r="P21" s="207" t="str">
        <f>INDEX(Q3_Paeds,18,13)</f>
        <v>No data</v>
      </c>
      <c r="Q21" s="208" t="str">
        <f>INDEX(Q3_Paeds,18,15)</f>
        <v>No data</v>
      </c>
      <c r="R21" s="205">
        <f t="shared" si="4"/>
        <v>0</v>
      </c>
      <c r="S21" s="206" t="str">
        <f>INDEX(Q3_Paeds,18,16)</f>
        <v>No data</v>
      </c>
      <c r="T21" s="205">
        <f t="shared" si="5"/>
        <v>0</v>
      </c>
      <c r="U21" s="209" t="str">
        <f>INDEX(Q3_Paeds,18,17)</f>
        <v>No data</v>
      </c>
      <c r="V21" s="205">
        <f t="shared" si="6"/>
        <v>0</v>
      </c>
      <c r="W21" s="206" t="str">
        <f>INDEX(Q3_Paeds,18,18)</f>
        <v>No data</v>
      </c>
      <c r="X21" s="205">
        <f t="shared" si="7"/>
        <v>0</v>
      </c>
      <c r="Y21" s="207" t="str">
        <f>INDEX(Q3_Paeds,18,19)</f>
        <v>No data</v>
      </c>
      <c r="Z21" s="218" t="str">
        <f>INDEX(Q3_Paeds,18,21)</f>
        <v>No data</v>
      </c>
      <c r="AA21" s="219" t="str">
        <f>INDEX(Q3_Paeds,18,22)</f>
        <v>No data</v>
      </c>
    </row>
    <row r="22" spans="2:27" s="8" customFormat="1" ht="21.75" customHeight="1" thickTop="1" thickBot="1" x14ac:dyDescent="0.35">
      <c r="B22" s="30" t="s">
        <v>52</v>
      </c>
      <c r="C22" s="30" t="s">
        <v>23</v>
      </c>
      <c r="D22" s="61">
        <v>3</v>
      </c>
      <c r="E22" s="30" t="s">
        <v>21</v>
      </c>
      <c r="F22" s="213" t="str">
        <f>INDEX(Q3_Paeds,19,7)</f>
        <v>No data</v>
      </c>
      <c r="G22" s="220" t="str">
        <f>INDEX(Q3_Paeds,19,8)</f>
        <v>No data</v>
      </c>
      <c r="H22" s="210" t="str">
        <f>INDEX(Q3_Paeds,19,9)</f>
        <v>No data</v>
      </c>
      <c r="I22" s="200">
        <f t="shared" si="0"/>
        <v>0</v>
      </c>
      <c r="J22" s="201" t="str">
        <f>INDEX(Q3_Paeds,19,10)</f>
        <v>No data</v>
      </c>
      <c r="K22" s="200">
        <f t="shared" si="1"/>
        <v>0</v>
      </c>
      <c r="L22" s="201" t="str">
        <f>INDEX(Q3_Paeds,19,11)</f>
        <v>No data</v>
      </c>
      <c r="M22" s="200">
        <f t="shared" si="2"/>
        <v>0</v>
      </c>
      <c r="N22" s="201" t="str">
        <f>INDEX(Q3_Paeds,19,12)</f>
        <v>No data</v>
      </c>
      <c r="O22" s="200">
        <f t="shared" si="3"/>
        <v>0</v>
      </c>
      <c r="P22" s="202" t="str">
        <f>INDEX(Q3_Paeds,19,13)</f>
        <v>No data</v>
      </c>
      <c r="Q22" s="199" t="str">
        <f>INDEX(Q3_Paeds,19,15)</f>
        <v>No data</v>
      </c>
      <c r="R22" s="200">
        <f t="shared" si="4"/>
        <v>0</v>
      </c>
      <c r="S22" s="201" t="str">
        <f>INDEX(Q3_Paeds,19,16)</f>
        <v>No data</v>
      </c>
      <c r="T22" s="211">
        <f t="shared" si="5"/>
        <v>0</v>
      </c>
      <c r="U22" s="203" t="str">
        <f>INDEX(Q3_Paeds,19,17)</f>
        <v>No data</v>
      </c>
      <c r="V22" s="200">
        <f t="shared" si="6"/>
        <v>0</v>
      </c>
      <c r="W22" s="201" t="str">
        <f>INDEX(Q3_Paeds,19,18)</f>
        <v>No data</v>
      </c>
      <c r="X22" s="200">
        <f t="shared" si="7"/>
        <v>0</v>
      </c>
      <c r="Y22" s="202" t="str">
        <f>INDEX(Q3_Paeds,19,19)</f>
        <v>No data</v>
      </c>
      <c r="Z22" s="214" t="str">
        <f>INDEX(Q3_Paeds,19,21)</f>
        <v>No data</v>
      </c>
      <c r="AA22" s="215" t="str">
        <f>INDEX(Q3_Paeds,19,22)</f>
        <v>No data</v>
      </c>
    </row>
    <row r="23" spans="2:27" s="8" customFormat="1" ht="21.75" customHeight="1" thickTop="1" thickBot="1" x14ac:dyDescent="0.35">
      <c r="B23" s="31" t="s">
        <v>57</v>
      </c>
      <c r="C23" s="31" t="s">
        <v>23</v>
      </c>
      <c r="D23" s="62">
        <v>3</v>
      </c>
      <c r="E23" s="31" t="s">
        <v>21</v>
      </c>
      <c r="F23" s="216" t="str">
        <f>INDEX(Q3_Paeds,20,7)</f>
        <v>No data</v>
      </c>
      <c r="G23" s="217" t="str">
        <f>INDEX(Q3_Paeds,20,8)</f>
        <v>No data</v>
      </c>
      <c r="H23" s="208" t="str">
        <f>INDEX(Q3_Paeds,20,9)</f>
        <v>No data</v>
      </c>
      <c r="I23" s="205">
        <f t="shared" si="0"/>
        <v>0</v>
      </c>
      <c r="J23" s="206" t="str">
        <f>INDEX(Q3_Paeds,20,10)</f>
        <v>No data</v>
      </c>
      <c r="K23" s="205">
        <f t="shared" si="1"/>
        <v>0</v>
      </c>
      <c r="L23" s="206" t="str">
        <f>INDEX(Q3_Paeds,20,11)</f>
        <v>No data</v>
      </c>
      <c r="M23" s="205">
        <f t="shared" si="2"/>
        <v>0</v>
      </c>
      <c r="N23" s="206" t="str">
        <f>INDEX(Q3_Paeds,20,12)</f>
        <v>No data</v>
      </c>
      <c r="O23" s="205">
        <f t="shared" si="3"/>
        <v>0</v>
      </c>
      <c r="P23" s="207" t="str">
        <f>INDEX(Q3_Paeds,20,13)</f>
        <v>No data</v>
      </c>
      <c r="Q23" s="208" t="str">
        <f>INDEX(Q3_Paeds,20,15)</f>
        <v>No data</v>
      </c>
      <c r="R23" s="205">
        <f t="shared" si="4"/>
        <v>0</v>
      </c>
      <c r="S23" s="206" t="str">
        <f>INDEX(Q3_Paeds,20,16)</f>
        <v>No data</v>
      </c>
      <c r="T23" s="205">
        <f t="shared" si="5"/>
        <v>0</v>
      </c>
      <c r="U23" s="212" t="str">
        <f>INDEX(Q3_Paeds,20,17)</f>
        <v>No data</v>
      </c>
      <c r="V23" s="205">
        <f t="shared" si="6"/>
        <v>0</v>
      </c>
      <c r="W23" s="206" t="str">
        <f>INDEX(Q3_Paeds,20,18)</f>
        <v>No data</v>
      </c>
      <c r="X23" s="205">
        <f t="shared" si="7"/>
        <v>0</v>
      </c>
      <c r="Y23" s="207" t="str">
        <f>INDEX(Q3_Paeds,20,19)</f>
        <v>No data</v>
      </c>
      <c r="Z23" s="218" t="str">
        <f>INDEX(Q3_Paeds,20,21)</f>
        <v>No data</v>
      </c>
      <c r="AA23" s="219" t="str">
        <f>INDEX(Q3_Paeds,20,22)</f>
        <v>No data</v>
      </c>
    </row>
    <row r="24" spans="2:27" s="8" customFormat="1" ht="21.75" customHeight="1" thickTop="1" thickBot="1" x14ac:dyDescent="0.35">
      <c r="B24" s="32" t="s">
        <v>54</v>
      </c>
      <c r="C24" s="32" t="s">
        <v>23</v>
      </c>
      <c r="D24" s="63">
        <v>3</v>
      </c>
      <c r="E24" s="32" t="s">
        <v>21</v>
      </c>
      <c r="F24" s="213" t="str">
        <f>INDEX(Q3_Paeds,21,7)</f>
        <v>No data</v>
      </c>
      <c r="G24" s="220" t="str">
        <f>INDEX(Q3_Paeds,21,8)</f>
        <v>No data</v>
      </c>
      <c r="H24" s="199" t="str">
        <f>INDEX(Q3_Paeds,21,9)</f>
        <v>No data</v>
      </c>
      <c r="I24" s="200">
        <f t="shared" si="0"/>
        <v>0</v>
      </c>
      <c r="J24" s="201" t="str">
        <f>INDEX(Q3_Paeds,21,10)</f>
        <v>No data</v>
      </c>
      <c r="K24" s="200">
        <f t="shared" si="1"/>
        <v>0</v>
      </c>
      <c r="L24" s="201" t="str">
        <f>INDEX(Q3_Paeds,21,11)</f>
        <v>No data</v>
      </c>
      <c r="M24" s="200">
        <f t="shared" si="2"/>
        <v>0</v>
      </c>
      <c r="N24" s="201" t="str">
        <f>INDEX(Q3_Paeds,21,12)</f>
        <v>No data</v>
      </c>
      <c r="O24" s="200">
        <f t="shared" si="3"/>
        <v>0</v>
      </c>
      <c r="P24" s="202" t="str">
        <f>INDEX(Q3_Paeds,21,13)</f>
        <v>No data</v>
      </c>
      <c r="Q24" s="199" t="str">
        <f>INDEX(Q3_Paeds,21,15)</f>
        <v>No data</v>
      </c>
      <c r="R24" s="200">
        <f t="shared" si="4"/>
        <v>0</v>
      </c>
      <c r="S24" s="201" t="str">
        <f>INDEX(Q3_Paeds,21,16)</f>
        <v>No data</v>
      </c>
      <c r="T24" s="200">
        <f t="shared" si="5"/>
        <v>0</v>
      </c>
      <c r="U24" s="203" t="str">
        <f>INDEX(Q3_Paeds,21,17)</f>
        <v>No data</v>
      </c>
      <c r="V24" s="200">
        <f t="shared" si="6"/>
        <v>0</v>
      </c>
      <c r="W24" s="201" t="str">
        <f>INDEX(Q3_Paeds,21,18)</f>
        <v>No data</v>
      </c>
      <c r="X24" s="200">
        <f t="shared" si="7"/>
        <v>0</v>
      </c>
      <c r="Y24" s="202" t="str">
        <f>INDEX(Q3_Paeds,21,19)</f>
        <v>No data</v>
      </c>
      <c r="Z24" s="214" t="str">
        <f>INDEX(Q3_Paeds,21,21)</f>
        <v>No data</v>
      </c>
      <c r="AA24" s="215" t="str">
        <f>INDEX(Q3_Paeds,21,22)</f>
        <v>No data</v>
      </c>
    </row>
    <row r="25" spans="2:27" s="8" customFormat="1" ht="21.75" customHeight="1" thickTop="1" thickBot="1" x14ac:dyDescent="0.35">
      <c r="B25" s="29" t="s">
        <v>62</v>
      </c>
      <c r="C25" s="29" t="s">
        <v>23</v>
      </c>
      <c r="D25" s="60">
        <v>3</v>
      </c>
      <c r="E25" s="29" t="s">
        <v>21</v>
      </c>
      <c r="F25" s="216" t="str">
        <f>INDEX(Q3_Paeds,22,7)</f>
        <v>No data</v>
      </c>
      <c r="G25" s="217" t="str">
        <f>INDEX(Q3_Paeds,22,8)</f>
        <v>No data</v>
      </c>
      <c r="H25" s="208" t="str">
        <f>INDEX(Q3_Paeds,22,9)</f>
        <v>No data</v>
      </c>
      <c r="I25" s="205">
        <f t="shared" si="0"/>
        <v>0</v>
      </c>
      <c r="J25" s="206" t="str">
        <f>INDEX(Q3_Paeds,22,10)</f>
        <v>No data</v>
      </c>
      <c r="K25" s="205">
        <f t="shared" si="1"/>
        <v>0</v>
      </c>
      <c r="L25" s="206" t="str">
        <f>INDEX(Q3_Paeds,22,11)</f>
        <v>No data</v>
      </c>
      <c r="M25" s="205">
        <f t="shared" si="2"/>
        <v>0</v>
      </c>
      <c r="N25" s="206" t="str">
        <f>INDEX(Q3_Paeds,22,12)</f>
        <v>No data</v>
      </c>
      <c r="O25" s="205">
        <f t="shared" si="3"/>
        <v>0</v>
      </c>
      <c r="P25" s="207" t="str">
        <f>INDEX(Q3_Paeds,22,13)</f>
        <v>No data</v>
      </c>
      <c r="Q25" s="208" t="str">
        <f>INDEX(Q3_Paeds,22,15)</f>
        <v>No data</v>
      </c>
      <c r="R25" s="205">
        <f t="shared" si="4"/>
        <v>0</v>
      </c>
      <c r="S25" s="206" t="str">
        <f>INDEX(Q3_Paeds,22,16)</f>
        <v>No data</v>
      </c>
      <c r="T25" s="205">
        <f t="shared" si="5"/>
        <v>0</v>
      </c>
      <c r="U25" s="212" t="str">
        <f>INDEX(Q3_Paeds,22,17)</f>
        <v>No data</v>
      </c>
      <c r="V25" s="205">
        <f t="shared" si="6"/>
        <v>0</v>
      </c>
      <c r="W25" s="206" t="str">
        <f>INDEX(Q3_Paeds,22,18)</f>
        <v>No data</v>
      </c>
      <c r="X25" s="205">
        <f t="shared" si="7"/>
        <v>0</v>
      </c>
      <c r="Y25" s="207" t="str">
        <f>INDEX(Q3_Paeds,22,19)</f>
        <v>No data</v>
      </c>
      <c r="Z25" s="218" t="str">
        <f>INDEX(Q3_Paeds,22,21)</f>
        <v>No data</v>
      </c>
      <c r="AA25" s="219" t="str">
        <f>INDEX(Q3_Paeds,22,22)</f>
        <v>No data</v>
      </c>
    </row>
    <row r="26" spans="2:27" ht="15" thickTop="1" x14ac:dyDescent="0.3">
      <c r="B26" s="16"/>
      <c r="C26" s="16"/>
      <c r="D26" s="16"/>
      <c r="E26" s="16"/>
      <c r="F26" s="15"/>
      <c r="G26" s="15"/>
      <c r="H26" s="119"/>
      <c r="I26" s="15"/>
      <c r="J26" s="119"/>
      <c r="K26" s="15"/>
      <c r="L26" s="119"/>
      <c r="M26" s="15"/>
      <c r="N26" s="119"/>
      <c r="O26" s="15"/>
      <c r="P26" s="15"/>
      <c r="Q26" s="119"/>
      <c r="R26" s="15"/>
      <c r="S26" s="119"/>
      <c r="T26" s="15"/>
      <c r="U26" s="119"/>
      <c r="V26" s="15"/>
      <c r="W26" s="119"/>
      <c r="X26" s="15"/>
      <c r="Y26" s="15"/>
      <c r="Z26" s="15"/>
      <c r="AA26" s="15"/>
    </row>
    <row r="27" spans="2:27" ht="15" thickBot="1" x14ac:dyDescent="0.35">
      <c r="B27" s="16"/>
      <c r="C27" s="16"/>
      <c r="D27" s="16"/>
      <c r="E27" s="16"/>
      <c r="F27" s="15"/>
      <c r="G27" s="15"/>
      <c r="H27" s="119"/>
      <c r="I27" s="15"/>
      <c r="J27" s="119"/>
      <c r="K27" s="15"/>
      <c r="L27" s="119"/>
      <c r="M27" s="15"/>
      <c r="N27" s="119"/>
      <c r="O27" s="15"/>
      <c r="P27" s="15"/>
      <c r="Q27" s="119"/>
      <c r="R27" s="15"/>
      <c r="S27" s="119"/>
      <c r="T27" s="15"/>
      <c r="U27" s="119"/>
      <c r="V27" s="15"/>
      <c r="W27" s="119"/>
      <c r="X27" s="15"/>
      <c r="Y27" s="15"/>
      <c r="Z27" s="15"/>
      <c r="AA27" s="15"/>
    </row>
    <row r="28" spans="2:27" ht="14.4" x14ac:dyDescent="0.3">
      <c r="B28" s="299" t="s">
        <v>86</v>
      </c>
      <c r="C28" s="300" t="s">
        <v>87</v>
      </c>
      <c r="D28" s="301"/>
      <c r="E28" s="302"/>
      <c r="F28" s="309" t="s">
        <v>78</v>
      </c>
      <c r="G28" s="310"/>
      <c r="H28" s="311"/>
      <c r="I28" s="312"/>
      <c r="J28" s="315" t="s">
        <v>84</v>
      </c>
      <c r="K28" s="316"/>
      <c r="L28" s="319" t="s">
        <v>84</v>
      </c>
      <c r="M28" s="320"/>
      <c r="N28" s="323" t="s">
        <v>84</v>
      </c>
      <c r="O28" s="324"/>
      <c r="P28" s="229"/>
      <c r="Q28" s="311"/>
      <c r="R28" s="312"/>
      <c r="S28" s="315" t="s">
        <v>84</v>
      </c>
      <c r="T28" s="316"/>
      <c r="U28" s="319" t="s">
        <v>84</v>
      </c>
      <c r="V28" s="320"/>
      <c r="W28" s="323" t="s">
        <v>84</v>
      </c>
      <c r="X28" s="324"/>
      <c r="Y28" s="128"/>
      <c r="Z28" s="335" t="s">
        <v>81</v>
      </c>
      <c r="AA28" s="310"/>
    </row>
    <row r="29" spans="2:27" ht="14.4" x14ac:dyDescent="0.3">
      <c r="B29" s="299"/>
      <c r="C29" s="303"/>
      <c r="D29" s="304"/>
      <c r="E29" s="305"/>
      <c r="F29" s="336" t="s">
        <v>79</v>
      </c>
      <c r="G29" s="337"/>
      <c r="H29" s="313"/>
      <c r="I29" s="314"/>
      <c r="J29" s="317"/>
      <c r="K29" s="318"/>
      <c r="L29" s="321"/>
      <c r="M29" s="322"/>
      <c r="N29" s="325"/>
      <c r="O29" s="326"/>
      <c r="P29" s="230"/>
      <c r="Q29" s="313"/>
      <c r="R29" s="314"/>
      <c r="S29" s="317"/>
      <c r="T29" s="318"/>
      <c r="U29" s="321"/>
      <c r="V29" s="322"/>
      <c r="W29" s="325"/>
      <c r="X29" s="326"/>
      <c r="Y29" s="129"/>
      <c r="Z29" s="338" t="s">
        <v>82</v>
      </c>
      <c r="AA29" s="337"/>
    </row>
    <row r="30" spans="2:27" ht="15" thickBot="1" x14ac:dyDescent="0.35">
      <c r="B30" s="299"/>
      <c r="C30" s="306"/>
      <c r="D30" s="307"/>
      <c r="E30" s="308"/>
      <c r="F30" s="331" t="s">
        <v>80</v>
      </c>
      <c r="G30" s="332"/>
      <c r="H30" s="333"/>
      <c r="I30" s="334"/>
      <c r="J30" s="339" t="s">
        <v>85</v>
      </c>
      <c r="K30" s="334"/>
      <c r="L30" s="339" t="s">
        <v>85</v>
      </c>
      <c r="M30" s="334"/>
      <c r="N30" s="339" t="s">
        <v>85</v>
      </c>
      <c r="O30" s="334"/>
      <c r="P30" s="227"/>
      <c r="Q30" s="333"/>
      <c r="R30" s="334"/>
      <c r="S30" s="339" t="s">
        <v>85</v>
      </c>
      <c r="T30" s="334"/>
      <c r="U30" s="339" t="s">
        <v>85</v>
      </c>
      <c r="V30" s="334"/>
      <c r="W30" s="339" t="s">
        <v>85</v>
      </c>
      <c r="X30" s="334"/>
      <c r="Y30" s="115"/>
      <c r="Z30" s="340" t="s">
        <v>83</v>
      </c>
      <c r="AA30" s="332"/>
    </row>
    <row r="31" spans="2:27" ht="14.4" x14ac:dyDescent="0.3">
      <c r="B31" s="17"/>
      <c r="C31" s="17"/>
      <c r="D31" s="17"/>
      <c r="E31" s="17"/>
      <c r="F31" s="18"/>
      <c r="G31" s="18"/>
      <c r="H31" s="120"/>
      <c r="I31" s="18"/>
      <c r="J31" s="120"/>
      <c r="K31" s="18"/>
      <c r="L31" s="120"/>
      <c r="M31" s="18"/>
      <c r="N31" s="120"/>
      <c r="O31" s="18"/>
      <c r="P31" s="18"/>
      <c r="Q31" s="120"/>
      <c r="R31" s="18"/>
      <c r="S31" s="120"/>
      <c r="T31" s="18"/>
      <c r="U31" s="120"/>
      <c r="V31" s="18"/>
      <c r="W31" s="120"/>
      <c r="X31" s="18"/>
      <c r="Y31" s="18"/>
      <c r="Z31" s="18"/>
      <c r="AA31" s="19"/>
    </row>
    <row r="32" spans="2:27" ht="14.4" x14ac:dyDescent="0.3">
      <c r="B32" s="15"/>
      <c r="C32" s="15"/>
      <c r="D32" s="15"/>
      <c r="E32" s="15"/>
      <c r="F32" s="20">
        <v>10</v>
      </c>
      <c r="G32" s="20">
        <v>10</v>
      </c>
      <c r="H32" s="121">
        <v>10</v>
      </c>
      <c r="I32" s="20"/>
      <c r="J32" s="121">
        <v>10</v>
      </c>
      <c r="K32" s="20">
        <v>10</v>
      </c>
      <c r="L32" s="121">
        <v>10</v>
      </c>
      <c r="M32" s="20"/>
      <c r="N32" s="121"/>
      <c r="O32" s="20"/>
      <c r="P32" s="20"/>
      <c r="Q32" s="121"/>
      <c r="R32" s="20"/>
      <c r="S32" s="121"/>
      <c r="T32" s="20"/>
      <c r="U32" s="121"/>
      <c r="V32" s="20"/>
      <c r="W32" s="121"/>
      <c r="X32" s="20"/>
      <c r="Y32" s="20"/>
      <c r="Z32" s="20"/>
      <c r="AA32" s="15"/>
    </row>
    <row r="33" spans="2:27" ht="14.4" x14ac:dyDescent="0.3">
      <c r="B33" s="16" t="s">
        <v>15</v>
      </c>
      <c r="C33" s="16"/>
      <c r="D33" s="16"/>
      <c r="E33" s="16"/>
      <c r="F33" s="21"/>
      <c r="G33" s="15"/>
      <c r="H33" s="119"/>
      <c r="I33" s="15"/>
      <c r="J33" s="119"/>
      <c r="K33" s="15"/>
      <c r="L33" s="119"/>
      <c r="M33" s="15"/>
      <c r="N33" s="119"/>
      <c r="O33" s="15"/>
      <c r="P33" s="15"/>
      <c r="Q33" s="119"/>
      <c r="R33" s="15"/>
      <c r="S33" s="119"/>
      <c r="T33" s="15"/>
      <c r="U33" s="119"/>
      <c r="V33" s="15"/>
      <c r="W33" s="119"/>
      <c r="X33" s="15"/>
      <c r="Y33" s="15"/>
      <c r="Z33" s="15"/>
      <c r="AA33" s="15"/>
    </row>
    <row r="34" spans="2:27" ht="14.4" x14ac:dyDescent="0.3">
      <c r="B34" s="22" t="s">
        <v>16</v>
      </c>
      <c r="C34" s="22"/>
      <c r="D34" s="22"/>
      <c r="E34" s="22"/>
      <c r="F34" s="15"/>
      <c r="G34" s="15"/>
      <c r="H34" s="119"/>
      <c r="I34" s="15"/>
      <c r="J34" s="119"/>
      <c r="K34" s="15"/>
      <c r="L34" s="119"/>
      <c r="M34" s="15"/>
      <c r="N34" s="119"/>
      <c r="O34" s="15"/>
      <c r="P34" s="15"/>
      <c r="Q34" s="119"/>
      <c r="R34" s="15"/>
      <c r="S34" s="119"/>
      <c r="T34" s="15"/>
      <c r="U34" s="119"/>
      <c r="V34" s="15"/>
      <c r="W34" s="119"/>
      <c r="X34" s="15"/>
      <c r="Y34" s="15"/>
      <c r="Z34" s="15"/>
      <c r="AA34" s="15"/>
    </row>
    <row r="35" spans="2:27" ht="14.4" x14ac:dyDescent="0.3">
      <c r="B35" s="23"/>
      <c r="C35" s="23"/>
      <c r="D35" s="23"/>
      <c r="E35" s="23"/>
      <c r="F35" s="15"/>
      <c r="G35" s="15"/>
      <c r="H35" s="119"/>
      <c r="I35" s="15"/>
      <c r="J35" s="119"/>
      <c r="K35" s="15"/>
      <c r="L35" s="119"/>
      <c r="M35" s="15"/>
      <c r="N35" s="119"/>
      <c r="O35" s="15"/>
      <c r="P35" s="15"/>
      <c r="Q35" s="119"/>
      <c r="R35" s="15"/>
      <c r="S35" s="119"/>
      <c r="T35" s="15"/>
      <c r="U35" s="119"/>
      <c r="V35" s="15"/>
      <c r="W35" s="119"/>
      <c r="X35" s="15"/>
      <c r="Y35" s="15"/>
      <c r="Z35" s="15"/>
      <c r="AA35" s="15"/>
    </row>
    <row r="36" spans="2:27" ht="14.4" x14ac:dyDescent="0.3"/>
    <row r="37" spans="2:27" ht="14.4" x14ac:dyDescent="0.3"/>
    <row r="38" spans="2:27" ht="14.4" hidden="1" x14ac:dyDescent="0.3"/>
    <row r="39" spans="2:27" ht="14.4" hidden="1" x14ac:dyDescent="0.3"/>
    <row r="40" spans="2:27" ht="14.4" hidden="1" x14ac:dyDescent="0.3"/>
    <row r="41" spans="2:27" ht="14.4" hidden="1" x14ac:dyDescent="0.3"/>
    <row r="42" spans="2:27" ht="14.4" hidden="1" x14ac:dyDescent="0.3"/>
    <row r="43" spans="2:27" ht="14.4" hidden="1" x14ac:dyDescent="0.3"/>
    <row r="44" spans="2:27" ht="14.4" hidden="1" x14ac:dyDescent="0.3"/>
    <row r="45" spans="2:27" ht="14.4" hidden="1" x14ac:dyDescent="0.3"/>
    <row r="46" spans="2:27" ht="14.4" hidden="1" x14ac:dyDescent="0.3"/>
    <row r="47" spans="2:27" ht="14.4" hidden="1" x14ac:dyDescent="0.3"/>
    <row r="48" spans="2:27" ht="14.4" hidden="1" x14ac:dyDescent="0.3"/>
    <row r="49" ht="14.4" hidden="1" x14ac:dyDescent="0.3"/>
    <row r="50" ht="14.4" hidden="1" x14ac:dyDescent="0.3"/>
    <row r="51" ht="14.4" hidden="1" x14ac:dyDescent="0.3"/>
    <row r="52" ht="14.4" hidden="1" x14ac:dyDescent="0.3"/>
    <row r="53" ht="14.4" hidden="1" x14ac:dyDescent="0.3"/>
    <row r="54" ht="14.4" hidden="1" x14ac:dyDescent="0.3"/>
    <row r="55" ht="14.4" hidden="1" x14ac:dyDescent="0.3"/>
    <row r="56" ht="14.4" hidden="1" x14ac:dyDescent="0.3"/>
    <row r="57" ht="14.4" hidden="1" x14ac:dyDescent="0.3"/>
    <row r="58" ht="14.4" hidden="1" x14ac:dyDescent="0.3"/>
    <row r="59" ht="14.4" hidden="1" x14ac:dyDescent="0.3"/>
    <row r="60" ht="14.4" hidden="1" x14ac:dyDescent="0.3"/>
    <row r="61" ht="14.4" hidden="1" x14ac:dyDescent="0.3"/>
    <row r="62" ht="14.4" hidden="1" x14ac:dyDescent="0.3"/>
  </sheetData>
  <mergeCells count="45">
    <mergeCell ref="Z28:AA28"/>
    <mergeCell ref="F29:G29"/>
    <mergeCell ref="Z29:AA29"/>
    <mergeCell ref="Q30:R30"/>
    <mergeCell ref="S30:T30"/>
    <mergeCell ref="U30:V30"/>
    <mergeCell ref="W30:X30"/>
    <mergeCell ref="Z30:AA30"/>
    <mergeCell ref="J30:K30"/>
    <mergeCell ref="L30:M30"/>
    <mergeCell ref="N30:O30"/>
    <mergeCell ref="U28:V29"/>
    <mergeCell ref="W28:X29"/>
    <mergeCell ref="W7:X7"/>
    <mergeCell ref="B28:B30"/>
    <mergeCell ref="C28:E30"/>
    <mergeCell ref="F28:G28"/>
    <mergeCell ref="H28:I29"/>
    <mergeCell ref="J28:K29"/>
    <mergeCell ref="L28:M29"/>
    <mergeCell ref="N28:O29"/>
    <mergeCell ref="Q28:R29"/>
    <mergeCell ref="S28:T29"/>
    <mergeCell ref="B5:B7"/>
    <mergeCell ref="C5:C7"/>
    <mergeCell ref="D5:D7"/>
    <mergeCell ref="E5:E7"/>
    <mergeCell ref="F30:G30"/>
    <mergeCell ref="H30:I30"/>
    <mergeCell ref="Z5:AA5"/>
    <mergeCell ref="F6:F7"/>
    <mergeCell ref="G6:G7"/>
    <mergeCell ref="H6:P6"/>
    <mergeCell ref="Q6:Y6"/>
    <mergeCell ref="Z6:Z7"/>
    <mergeCell ref="AA6:AA7"/>
    <mergeCell ref="H7:I7"/>
    <mergeCell ref="J7:K7"/>
    <mergeCell ref="L7:M7"/>
    <mergeCell ref="F5:G5"/>
    <mergeCell ref="H5:Y5"/>
    <mergeCell ref="N7:O7"/>
    <mergeCell ref="Q7:R7"/>
    <mergeCell ref="S7:T7"/>
    <mergeCell ref="U7:V7"/>
  </mergeCells>
  <conditionalFormatting sqref="F8:G25">
    <cfRule type="containsText" dxfId="70" priority="9" operator="containsText" text="N/A">
      <formula>NOT(ISERROR(SEARCH("N/A",F8)))</formula>
    </cfRule>
    <cfRule type="cellIs" dxfId="69" priority="16" operator="between">
      <formula>0.01</formula>
      <formula>13</formula>
    </cfRule>
    <cfRule type="cellIs" dxfId="68" priority="17" operator="between">
      <formula>13</formula>
      <formula>18</formula>
    </cfRule>
    <cfRule type="cellIs" dxfId="67" priority="18" operator="greaterThan">
      <formula>18</formula>
    </cfRule>
    <cfRule type="cellIs" dxfId="66" priority="19" operator="greaterThan">
      <formula>18</formula>
    </cfRule>
  </conditionalFormatting>
  <conditionalFormatting sqref="K8:K25 T8:T25">
    <cfRule type="cellIs" dxfId="65" priority="15" operator="greaterThan">
      <formula>0.49</formula>
    </cfRule>
  </conditionalFormatting>
  <conditionalFormatting sqref="V8:V25 M8:M25">
    <cfRule type="cellIs" dxfId="64" priority="14" operator="greaterThan">
      <formula>0.49</formula>
    </cfRule>
  </conditionalFormatting>
  <conditionalFormatting sqref="O8:O25 X8:X25">
    <cfRule type="cellIs" dxfId="63" priority="13" operator="greaterThan">
      <formula>0.49</formula>
    </cfRule>
  </conditionalFormatting>
  <conditionalFormatting sqref="Z8:AA25">
    <cfRule type="cellIs" dxfId="62" priority="10" operator="between">
      <formula>0.0001</formula>
      <formula>0.1</formula>
    </cfRule>
    <cfRule type="cellIs" dxfId="61" priority="11" operator="between">
      <formula>0.1</formula>
      <formula>0.19</formula>
    </cfRule>
    <cfRule type="cellIs" dxfId="60" priority="12" operator="greaterThan">
      <formula>0.2</formula>
    </cfRule>
  </conditionalFormatting>
  <conditionalFormatting sqref="J8:J25">
    <cfRule type="expression" dxfId="59" priority="8">
      <formula>($J8/$P8*100)&gt;49.49</formula>
    </cfRule>
  </conditionalFormatting>
  <conditionalFormatting sqref="L8:L25">
    <cfRule type="expression" dxfId="58" priority="7">
      <formula>($L8/$P8*100)&gt;49.49</formula>
    </cfRule>
  </conditionalFormatting>
  <conditionalFormatting sqref="N8:N25">
    <cfRule type="expression" dxfId="57" priority="6">
      <formula>($N8/$P8*100)&gt;49.49</formula>
    </cfRule>
  </conditionalFormatting>
  <conditionalFormatting sqref="S8:S25">
    <cfRule type="expression" dxfId="56" priority="5">
      <formula>($S8/$Y8*100)&gt;49.49</formula>
    </cfRule>
  </conditionalFormatting>
  <conditionalFormatting sqref="U8:U25">
    <cfRule type="expression" dxfId="55" priority="4">
      <formula>($U8/$Y8*100)&gt;49.49</formula>
    </cfRule>
  </conditionalFormatting>
  <conditionalFormatting sqref="W8:W25">
    <cfRule type="expression" dxfId="54" priority="3">
      <formula>($W8/$Y8*100)&gt;49.49</formula>
    </cfRule>
  </conditionalFormatting>
  <conditionalFormatting sqref="L9">
    <cfRule type="expression" dxfId="53" priority="2">
      <formula>"$M$9=&gt;.499"</formula>
    </cfRule>
  </conditionalFormatting>
  <conditionalFormatting sqref="F8:AA25">
    <cfRule type="expression" dxfId="52" priority="1">
      <formula>$F8="No data"</formula>
    </cfRule>
  </conditionalFormatting>
  <hyperlinks>
    <hyperlink ref="C28:E30" location="Sheet1!A1" display="For more information on rag ratings please click here" xr:uid="{00000000-0004-0000-0900-000000000000}"/>
    <hyperlink ref="B3" location="'Front Page'!A1" display="Return to Contents" xr:uid="{00000000-0004-0000-0900-000001000000}"/>
  </hyperlink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C456"/>
  <sheetViews>
    <sheetView showGridLines="0" zoomScale="85" zoomScaleNormal="85" workbookViewId="0">
      <selection activeCell="A2" sqref="A2:AC2"/>
    </sheetView>
  </sheetViews>
  <sheetFormatPr defaultColWidth="0" defaultRowHeight="14.4" customHeight="1" zeroHeight="1" x14ac:dyDescent="0.3"/>
  <cols>
    <col min="1" max="29" width="9.109375" style="33" customWidth="1"/>
    <col min="30" max="16384" width="9.109375" style="33" hidden="1"/>
  </cols>
  <sheetData>
    <row r="1" spans="1:29" s="10" customFormat="1" ht="35.25" customHeight="1" x14ac:dyDescent="0.3">
      <c r="A1" s="341" t="s">
        <v>96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  <c r="T1" s="341"/>
      <c r="U1" s="341"/>
      <c r="V1" s="341"/>
      <c r="W1" s="341"/>
      <c r="X1" s="341"/>
      <c r="Y1" s="342" t="s">
        <v>95</v>
      </c>
      <c r="Z1" s="342"/>
      <c r="AA1" s="342"/>
    </row>
    <row r="2" spans="1:29" s="79" customFormat="1" ht="30" customHeight="1" x14ac:dyDescent="0.3">
      <c r="A2" s="343" t="s">
        <v>179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343"/>
      <c r="X2" s="343"/>
      <c r="Y2" s="343"/>
      <c r="Z2" s="343"/>
      <c r="AA2" s="343"/>
      <c r="AB2" s="343"/>
      <c r="AC2" s="343"/>
    </row>
    <row r="3" spans="1:29" s="80" customFormat="1" ht="25.5" customHeight="1" x14ac:dyDescent="0.3">
      <c r="B3" s="81" t="s">
        <v>106</v>
      </c>
    </row>
    <row r="4" spans="1:29" s="12" customFormat="1" x14ac:dyDescent="0.3"/>
    <row r="5" spans="1:29" s="12" customFormat="1" x14ac:dyDescent="0.3"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</row>
    <row r="6" spans="1:29" s="12" customFormat="1" x14ac:dyDescent="0.3"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</row>
    <row r="7" spans="1:29" s="12" customFormat="1" x14ac:dyDescent="0.3"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</row>
    <row r="8" spans="1:29" s="12" customFormat="1" x14ac:dyDescent="0.3"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</row>
    <row r="9" spans="1:29" s="12" customFormat="1" x14ac:dyDescent="0.3"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</row>
    <row r="10" spans="1:29" s="12" customFormat="1" x14ac:dyDescent="0.3"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</row>
    <row r="11" spans="1:29" s="12" customFormat="1" x14ac:dyDescent="0.3"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</row>
    <row r="12" spans="1:29" s="12" customFormat="1" x14ac:dyDescent="0.3"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</row>
    <row r="13" spans="1:29" s="12" customFormat="1" x14ac:dyDescent="0.3"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</row>
    <row r="14" spans="1:29" s="12" customFormat="1" x14ac:dyDescent="0.3"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</row>
    <row r="15" spans="1:29" s="12" customFormat="1" x14ac:dyDescent="0.3"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</row>
    <row r="16" spans="1:29" s="12" customFormat="1" x14ac:dyDescent="0.3"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</row>
    <row r="17" spans="2:28" s="12" customFormat="1" x14ac:dyDescent="0.3"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</row>
    <row r="18" spans="2:28" s="12" customFormat="1" x14ac:dyDescent="0.3"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</row>
    <row r="19" spans="2:28" s="12" customFormat="1" x14ac:dyDescent="0.3"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</row>
    <row r="20" spans="2:28" s="12" customFormat="1" x14ac:dyDescent="0.3"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</row>
    <row r="21" spans="2:28" s="12" customFormat="1" x14ac:dyDescent="0.3"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</row>
    <row r="22" spans="2:28" s="12" customFormat="1" x14ac:dyDescent="0.3"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</row>
    <row r="23" spans="2:28" s="12" customFormat="1" x14ac:dyDescent="0.3"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</row>
    <row r="24" spans="2:28" s="12" customFormat="1" x14ac:dyDescent="0.3"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</row>
    <row r="25" spans="2:28" s="12" customFormat="1" x14ac:dyDescent="0.3"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</row>
    <row r="26" spans="2:28" s="12" customFormat="1" x14ac:dyDescent="0.3"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</row>
    <row r="27" spans="2:28" s="12" customFormat="1" x14ac:dyDescent="0.3"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</row>
    <row r="28" spans="2:28" s="12" customFormat="1" x14ac:dyDescent="0.3"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</row>
    <row r="29" spans="2:28" s="12" customFormat="1" x14ac:dyDescent="0.3"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</row>
    <row r="30" spans="2:28" s="12" customFormat="1" x14ac:dyDescent="0.3"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</row>
    <row r="31" spans="2:28" s="12" customFormat="1" x14ac:dyDescent="0.3"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</row>
    <row r="32" spans="2:28" s="12" customFormat="1" x14ac:dyDescent="0.3"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</row>
    <row r="33" spans="1:28" s="12" customFormat="1" x14ac:dyDescent="0.3"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</row>
    <row r="34" spans="1:28" s="12" customFormat="1" x14ac:dyDescent="0.3"/>
    <row r="35" spans="1:28" s="12" customFormat="1" x14ac:dyDescent="0.3"/>
    <row r="36" spans="1:28" s="80" customFormat="1" ht="25.5" customHeight="1" x14ac:dyDescent="0.3">
      <c r="B36" s="81" t="s">
        <v>97</v>
      </c>
    </row>
    <row r="37" spans="1:28" s="12" customFormat="1" x14ac:dyDescent="0.3"/>
    <row r="38" spans="1:28" s="78" customFormat="1" x14ac:dyDescent="0.3">
      <c r="A38" s="12"/>
    </row>
    <row r="39" spans="1:28" s="78" customFormat="1" x14ac:dyDescent="0.3">
      <c r="A39" s="12"/>
    </row>
    <row r="40" spans="1:28" s="78" customFormat="1" x14ac:dyDescent="0.3">
      <c r="A40" s="12"/>
    </row>
    <row r="41" spans="1:28" s="78" customFormat="1" x14ac:dyDescent="0.3">
      <c r="A41" s="12"/>
    </row>
    <row r="42" spans="1:28" s="78" customFormat="1" x14ac:dyDescent="0.3">
      <c r="A42" s="12"/>
    </row>
    <row r="43" spans="1:28" s="78" customFormat="1" x14ac:dyDescent="0.3">
      <c r="A43" s="12"/>
    </row>
    <row r="44" spans="1:28" s="78" customFormat="1" x14ac:dyDescent="0.3">
      <c r="A44" s="12"/>
    </row>
    <row r="45" spans="1:28" s="78" customFormat="1" x14ac:dyDescent="0.3">
      <c r="A45" s="12"/>
    </row>
    <row r="46" spans="1:28" s="78" customFormat="1" x14ac:dyDescent="0.3">
      <c r="A46" s="12"/>
    </row>
    <row r="47" spans="1:28" s="78" customFormat="1" x14ac:dyDescent="0.3">
      <c r="A47" s="12"/>
    </row>
    <row r="48" spans="1:28" s="78" customFormat="1" x14ac:dyDescent="0.3">
      <c r="A48" s="12"/>
    </row>
    <row r="49" spans="1:1" s="78" customFormat="1" x14ac:dyDescent="0.3">
      <c r="A49" s="12"/>
    </row>
    <row r="50" spans="1:1" s="78" customFormat="1" x14ac:dyDescent="0.3">
      <c r="A50" s="12"/>
    </row>
    <row r="51" spans="1:1" s="78" customFormat="1" x14ac:dyDescent="0.3">
      <c r="A51" s="12"/>
    </row>
    <row r="52" spans="1:1" s="78" customFormat="1" x14ac:dyDescent="0.3">
      <c r="A52" s="12"/>
    </row>
    <row r="53" spans="1:1" s="78" customFormat="1" x14ac:dyDescent="0.3">
      <c r="A53" s="12"/>
    </row>
    <row r="54" spans="1:1" s="78" customFormat="1" x14ac:dyDescent="0.3">
      <c r="A54" s="12"/>
    </row>
    <row r="55" spans="1:1" s="78" customFormat="1" x14ac:dyDescent="0.3">
      <c r="A55" s="12"/>
    </row>
    <row r="56" spans="1:1" s="78" customFormat="1" x14ac:dyDescent="0.3">
      <c r="A56" s="12"/>
    </row>
    <row r="57" spans="1:1" s="78" customFormat="1" x14ac:dyDescent="0.3">
      <c r="A57" s="12"/>
    </row>
    <row r="58" spans="1:1" s="78" customFormat="1" x14ac:dyDescent="0.3">
      <c r="A58" s="12"/>
    </row>
    <row r="59" spans="1:1" s="78" customFormat="1" x14ac:dyDescent="0.3">
      <c r="A59" s="12"/>
    </row>
    <row r="60" spans="1:1" s="78" customFormat="1" x14ac:dyDescent="0.3">
      <c r="A60" s="12"/>
    </row>
    <row r="61" spans="1:1" s="78" customFormat="1" x14ac:dyDescent="0.3">
      <c r="A61" s="12"/>
    </row>
    <row r="62" spans="1:1" s="78" customFormat="1" x14ac:dyDescent="0.3">
      <c r="A62" s="12"/>
    </row>
    <row r="63" spans="1:1" s="78" customFormat="1" x14ac:dyDescent="0.3">
      <c r="A63" s="12"/>
    </row>
    <row r="64" spans="1:1" s="78" customFormat="1" x14ac:dyDescent="0.3">
      <c r="A64" s="12"/>
    </row>
    <row r="65" spans="1:1" s="78" customFormat="1" x14ac:dyDescent="0.3">
      <c r="A65" s="12"/>
    </row>
    <row r="66" spans="1:1" s="78" customFormat="1" x14ac:dyDescent="0.3">
      <c r="A66" s="12"/>
    </row>
    <row r="67" spans="1:1" s="78" customFormat="1" x14ac:dyDescent="0.3">
      <c r="A67" s="12"/>
    </row>
    <row r="68" spans="1:1" s="78" customFormat="1" x14ac:dyDescent="0.3">
      <c r="A68" s="12"/>
    </row>
    <row r="69" spans="1:1" s="78" customFormat="1" x14ac:dyDescent="0.3">
      <c r="A69" s="12"/>
    </row>
    <row r="70" spans="1:1" s="78" customFormat="1" x14ac:dyDescent="0.3">
      <c r="A70" s="12"/>
    </row>
    <row r="71" spans="1:1" s="78" customFormat="1" x14ac:dyDescent="0.3">
      <c r="A71" s="12"/>
    </row>
    <row r="72" spans="1:1" s="78" customFormat="1" x14ac:dyDescent="0.3">
      <c r="A72" s="12"/>
    </row>
    <row r="73" spans="1:1" s="78" customFormat="1" x14ac:dyDescent="0.3">
      <c r="A73" s="12"/>
    </row>
    <row r="74" spans="1:1" s="78" customFormat="1" x14ac:dyDescent="0.3">
      <c r="A74" s="12"/>
    </row>
    <row r="75" spans="1:1" s="78" customFormat="1" x14ac:dyDescent="0.3">
      <c r="A75" s="12"/>
    </row>
    <row r="76" spans="1:1" s="78" customFormat="1" x14ac:dyDescent="0.3">
      <c r="A76" s="12"/>
    </row>
    <row r="77" spans="1:1" s="78" customFormat="1" x14ac:dyDescent="0.3">
      <c r="A77" s="12"/>
    </row>
    <row r="78" spans="1:1" s="78" customFormat="1" x14ac:dyDescent="0.3">
      <c r="A78" s="12"/>
    </row>
    <row r="79" spans="1:1" s="78" customFormat="1" x14ac:dyDescent="0.3">
      <c r="A79" s="12"/>
    </row>
    <row r="80" spans="1:1" s="78" customFormat="1" x14ac:dyDescent="0.3">
      <c r="A80" s="12"/>
    </row>
    <row r="81" spans="1:29" s="78" customFormat="1" x14ac:dyDescent="0.3">
      <c r="A81" s="12"/>
    </row>
    <row r="82" spans="1:29" s="78" customFormat="1" x14ac:dyDescent="0.3">
      <c r="A82" s="12"/>
    </row>
    <row r="83" spans="1:29" s="78" customFormat="1" x14ac:dyDescent="0.3">
      <c r="A83" s="12"/>
    </row>
    <row r="84" spans="1:29" s="78" customFormat="1" x14ac:dyDescent="0.3">
      <c r="A84" s="12"/>
    </row>
    <row r="85" spans="1:29" s="78" customFormat="1" x14ac:dyDescent="0.3">
      <c r="A85" s="12"/>
    </row>
    <row r="86" spans="1:29" s="78" customFormat="1" x14ac:dyDescent="0.3">
      <c r="A86" s="12"/>
    </row>
    <row r="87" spans="1:29" s="78" customFormat="1" x14ac:dyDescent="0.3">
      <c r="A87" s="12"/>
    </row>
    <row r="88" spans="1:29" s="78" customFormat="1" x14ac:dyDescent="0.3">
      <c r="A88" s="12"/>
    </row>
    <row r="89" spans="1:29" s="12" customFormat="1" x14ac:dyDescent="0.3"/>
    <row r="90" spans="1:29" s="12" customFormat="1" x14ac:dyDescent="0.3">
      <c r="B90" s="78"/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</row>
    <row r="91" spans="1:29" s="12" customFormat="1" x14ac:dyDescent="0.3">
      <c r="B91" s="78"/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</row>
    <row r="92" spans="1:29" s="12" customFormat="1" x14ac:dyDescent="0.3">
      <c r="B92" s="78"/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</row>
    <row r="93" spans="1:29" s="12" customFormat="1" x14ac:dyDescent="0.3">
      <c r="B93" s="78"/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</row>
    <row r="94" spans="1:29" s="12" customFormat="1" x14ac:dyDescent="0.3">
      <c r="B94" s="78"/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</row>
    <row r="95" spans="1:29" s="12" customFormat="1" x14ac:dyDescent="0.3">
      <c r="B95" s="78"/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</row>
    <row r="96" spans="1:29" s="12" customFormat="1" x14ac:dyDescent="0.3">
      <c r="B96" s="78"/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</row>
    <row r="97" spans="2:29" s="12" customFormat="1" x14ac:dyDescent="0.3">
      <c r="B97" s="78"/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</row>
    <row r="98" spans="2:29" s="12" customFormat="1" x14ac:dyDescent="0.3">
      <c r="B98" s="78"/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</row>
    <row r="99" spans="2:29" s="12" customFormat="1" x14ac:dyDescent="0.3">
      <c r="B99" s="78"/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</row>
    <row r="100" spans="2:29" s="12" customFormat="1" x14ac:dyDescent="0.3">
      <c r="B100" s="78"/>
      <c r="C100" s="78"/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</row>
    <row r="101" spans="2:29" s="12" customFormat="1" x14ac:dyDescent="0.3"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</row>
    <row r="102" spans="2:29" s="12" customFormat="1" x14ac:dyDescent="0.3">
      <c r="B102" s="78"/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</row>
    <row r="103" spans="2:29" s="12" customFormat="1" x14ac:dyDescent="0.3">
      <c r="B103" s="78"/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</row>
    <row r="104" spans="2:29" s="12" customFormat="1" x14ac:dyDescent="0.3">
      <c r="B104" s="78"/>
      <c r="C104" s="78"/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</row>
    <row r="105" spans="2:29" s="12" customFormat="1" x14ac:dyDescent="0.3">
      <c r="B105" s="78"/>
      <c r="C105" s="78"/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</row>
    <row r="106" spans="2:29" s="12" customFormat="1" x14ac:dyDescent="0.3">
      <c r="B106" s="78"/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</row>
    <row r="107" spans="2:29" s="12" customFormat="1" x14ac:dyDescent="0.3">
      <c r="B107" s="78"/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</row>
    <row r="108" spans="2:29" s="12" customFormat="1" x14ac:dyDescent="0.3">
      <c r="B108" s="78"/>
      <c r="C108" s="78"/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</row>
    <row r="109" spans="2:29" s="12" customFormat="1" x14ac:dyDescent="0.3">
      <c r="B109" s="78"/>
      <c r="C109" s="78"/>
      <c r="D109" s="78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</row>
    <row r="110" spans="2:29" s="12" customFormat="1" x14ac:dyDescent="0.3">
      <c r="B110" s="78"/>
      <c r="C110" s="78"/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</row>
    <row r="111" spans="2:29" s="12" customFormat="1" x14ac:dyDescent="0.3">
      <c r="B111" s="78"/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</row>
    <row r="112" spans="2:29" s="12" customFormat="1" x14ac:dyDescent="0.3">
      <c r="B112" s="78"/>
      <c r="C112" s="78"/>
      <c r="D112" s="78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</row>
    <row r="113" spans="2:29" s="12" customFormat="1" x14ac:dyDescent="0.3">
      <c r="B113" s="78"/>
      <c r="C113" s="78"/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</row>
    <row r="114" spans="2:29" s="12" customFormat="1" x14ac:dyDescent="0.3">
      <c r="B114" s="78"/>
      <c r="C114" s="78"/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</row>
    <row r="115" spans="2:29" s="12" customFormat="1" x14ac:dyDescent="0.3"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</row>
    <row r="116" spans="2:29" s="12" customFormat="1" x14ac:dyDescent="0.3">
      <c r="B116" s="78"/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</row>
    <row r="117" spans="2:29" s="12" customFormat="1" x14ac:dyDescent="0.3">
      <c r="B117" s="78"/>
      <c r="C117" s="78"/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</row>
    <row r="118" spans="2:29" s="12" customFormat="1" x14ac:dyDescent="0.3">
      <c r="B118" s="78"/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</row>
    <row r="119" spans="2:29" s="12" customFormat="1" x14ac:dyDescent="0.3">
      <c r="B119" s="78"/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</row>
    <row r="120" spans="2:29" s="12" customFormat="1" x14ac:dyDescent="0.3">
      <c r="B120" s="78"/>
      <c r="C120" s="78"/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</row>
    <row r="121" spans="2:29" s="12" customFormat="1" x14ac:dyDescent="0.3">
      <c r="B121" s="78"/>
      <c r="C121" s="78"/>
      <c r="D121" s="78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</row>
    <row r="122" spans="2:29" s="12" customFormat="1" x14ac:dyDescent="0.3">
      <c r="B122" s="78"/>
      <c r="C122" s="78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</row>
    <row r="123" spans="2:29" s="12" customFormat="1" x14ac:dyDescent="0.3">
      <c r="B123" s="78"/>
      <c r="C123" s="78"/>
      <c r="D123" s="78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</row>
    <row r="124" spans="2:29" s="12" customFormat="1" x14ac:dyDescent="0.3">
      <c r="B124" s="78"/>
      <c r="C124" s="78"/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</row>
    <row r="125" spans="2:29" s="12" customFormat="1" x14ac:dyDescent="0.3">
      <c r="B125" s="78"/>
      <c r="C125" s="78"/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</row>
    <row r="126" spans="2:29" s="12" customFormat="1" x14ac:dyDescent="0.3">
      <c r="B126" s="78"/>
      <c r="C126" s="78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</row>
    <row r="127" spans="2:29" s="12" customFormat="1" x14ac:dyDescent="0.3">
      <c r="B127" s="78"/>
      <c r="C127" s="78"/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</row>
    <row r="128" spans="2:29" s="12" customFormat="1" x14ac:dyDescent="0.3">
      <c r="B128" s="78"/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</row>
    <row r="129" spans="2:29" s="12" customFormat="1" x14ac:dyDescent="0.3">
      <c r="B129" s="78"/>
      <c r="C129" s="78"/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</row>
    <row r="130" spans="2:29" s="12" customFormat="1" x14ac:dyDescent="0.3">
      <c r="B130" s="78"/>
      <c r="C130" s="78"/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</row>
    <row r="131" spans="2:29" s="12" customFormat="1" x14ac:dyDescent="0.3">
      <c r="B131" s="78"/>
      <c r="C131" s="78"/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</row>
    <row r="132" spans="2:29" s="12" customFormat="1" x14ac:dyDescent="0.3">
      <c r="B132" s="78"/>
      <c r="C132" s="78"/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</row>
    <row r="133" spans="2:29" s="12" customFormat="1" x14ac:dyDescent="0.3">
      <c r="B133" s="78"/>
      <c r="C133" s="78"/>
      <c r="D133" s="78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</row>
    <row r="134" spans="2:29" s="12" customFormat="1" x14ac:dyDescent="0.3">
      <c r="B134" s="78"/>
      <c r="C134" s="78"/>
      <c r="D134" s="78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</row>
    <row r="135" spans="2:29" s="12" customFormat="1" x14ac:dyDescent="0.3">
      <c r="B135" s="78"/>
      <c r="C135" s="78"/>
      <c r="D135" s="78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</row>
    <row r="136" spans="2:29" s="12" customFormat="1" x14ac:dyDescent="0.3">
      <c r="B136" s="78"/>
      <c r="C136" s="78"/>
      <c r="D136" s="78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</row>
    <row r="137" spans="2:29" s="12" customFormat="1" x14ac:dyDescent="0.3">
      <c r="B137" s="78"/>
      <c r="C137" s="78"/>
      <c r="D137" s="78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</row>
    <row r="138" spans="2:29" s="12" customFormat="1" x14ac:dyDescent="0.3">
      <c r="B138" s="78"/>
      <c r="C138" s="78"/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</row>
    <row r="139" spans="2:29" s="12" customFormat="1" x14ac:dyDescent="0.3">
      <c r="B139" s="78"/>
      <c r="C139" s="78"/>
      <c r="D139" s="78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</row>
    <row r="140" spans="2:29" s="12" customFormat="1" x14ac:dyDescent="0.3"/>
    <row r="141" spans="2:29" s="12" customFormat="1" x14ac:dyDescent="0.3"/>
    <row r="142" spans="2:29" s="80" customFormat="1" ht="25.5" customHeight="1" x14ac:dyDescent="0.3">
      <c r="B142" s="81" t="s">
        <v>3</v>
      </c>
    </row>
    <row r="143" spans="2:29" s="12" customFormat="1" x14ac:dyDescent="0.3"/>
    <row r="144" spans="2:29" s="12" customFormat="1" x14ac:dyDescent="0.3"/>
    <row r="145" spans="2:28" s="12" customFormat="1" x14ac:dyDescent="0.3">
      <c r="B145" s="78"/>
      <c r="C145" s="78"/>
      <c r="D145" s="78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</row>
    <row r="146" spans="2:28" s="12" customFormat="1" x14ac:dyDescent="0.3">
      <c r="B146" s="78"/>
      <c r="C146" s="78"/>
      <c r="D146" s="78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</row>
    <row r="147" spans="2:28" s="12" customFormat="1" x14ac:dyDescent="0.3">
      <c r="B147" s="78"/>
      <c r="C147" s="78"/>
      <c r="D147" s="78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</row>
    <row r="148" spans="2:28" s="12" customFormat="1" x14ac:dyDescent="0.3">
      <c r="B148" s="78"/>
      <c r="C148" s="78"/>
      <c r="D148" s="78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</row>
    <row r="149" spans="2:28" s="12" customFormat="1" x14ac:dyDescent="0.3">
      <c r="B149" s="78"/>
      <c r="C149" s="78"/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</row>
    <row r="150" spans="2:28" s="12" customFormat="1" x14ac:dyDescent="0.3">
      <c r="B150" s="78"/>
      <c r="C150" s="78"/>
      <c r="D150" s="78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</row>
    <row r="151" spans="2:28" s="12" customFormat="1" x14ac:dyDescent="0.3">
      <c r="B151" s="78"/>
      <c r="C151" s="78"/>
      <c r="D151" s="78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</row>
    <row r="152" spans="2:28" s="12" customFormat="1" x14ac:dyDescent="0.3">
      <c r="B152" s="78"/>
      <c r="C152" s="78"/>
      <c r="D152" s="78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</row>
    <row r="153" spans="2:28" s="12" customFormat="1" x14ac:dyDescent="0.3">
      <c r="B153" s="78"/>
      <c r="C153" s="78"/>
      <c r="D153" s="78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</row>
    <row r="154" spans="2:28" s="12" customFormat="1" x14ac:dyDescent="0.3">
      <c r="B154" s="78"/>
      <c r="C154" s="78"/>
      <c r="D154" s="78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</row>
    <row r="155" spans="2:28" s="12" customFormat="1" x14ac:dyDescent="0.3">
      <c r="B155" s="78"/>
      <c r="C155" s="78"/>
      <c r="D155" s="78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</row>
    <row r="156" spans="2:28" s="12" customFormat="1" x14ac:dyDescent="0.3">
      <c r="B156" s="78"/>
      <c r="C156" s="78"/>
      <c r="D156" s="78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</row>
    <row r="157" spans="2:28" s="12" customFormat="1" x14ac:dyDescent="0.3">
      <c r="B157" s="78"/>
      <c r="C157" s="78"/>
      <c r="D157" s="78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</row>
    <row r="158" spans="2:28" s="12" customFormat="1" x14ac:dyDescent="0.3">
      <c r="B158" s="78"/>
      <c r="C158" s="78"/>
      <c r="D158" s="78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</row>
    <row r="159" spans="2:28" s="12" customFormat="1" x14ac:dyDescent="0.3">
      <c r="B159" s="78"/>
      <c r="C159" s="78"/>
      <c r="D159" s="78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</row>
    <row r="160" spans="2:28" s="12" customFormat="1" x14ac:dyDescent="0.3">
      <c r="B160" s="78"/>
      <c r="C160" s="78"/>
      <c r="D160" s="78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</row>
    <row r="161" spans="2:28" s="12" customFormat="1" x14ac:dyDescent="0.3">
      <c r="B161" s="78"/>
      <c r="C161" s="78"/>
      <c r="D161" s="78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</row>
    <row r="162" spans="2:28" s="12" customFormat="1" x14ac:dyDescent="0.3">
      <c r="B162" s="78"/>
      <c r="C162" s="78"/>
      <c r="D162" s="78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</row>
    <row r="163" spans="2:28" s="12" customFormat="1" x14ac:dyDescent="0.3">
      <c r="B163" s="78"/>
      <c r="C163" s="78"/>
      <c r="D163" s="78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</row>
    <row r="164" spans="2:28" s="12" customFormat="1" x14ac:dyDescent="0.3">
      <c r="B164" s="78"/>
      <c r="C164" s="78"/>
      <c r="D164" s="78"/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</row>
    <row r="165" spans="2:28" s="12" customFormat="1" x14ac:dyDescent="0.3">
      <c r="B165" s="78"/>
      <c r="C165" s="78"/>
      <c r="D165" s="78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</row>
    <row r="166" spans="2:28" s="12" customFormat="1" x14ac:dyDescent="0.3">
      <c r="B166" s="78"/>
      <c r="C166" s="78"/>
      <c r="D166" s="78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</row>
    <row r="167" spans="2:28" s="12" customFormat="1" x14ac:dyDescent="0.3">
      <c r="B167" s="78"/>
      <c r="C167" s="78"/>
      <c r="D167" s="78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</row>
    <row r="168" spans="2:28" s="12" customFormat="1" x14ac:dyDescent="0.3">
      <c r="B168" s="78"/>
      <c r="C168" s="78"/>
      <c r="D168" s="78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</row>
    <row r="169" spans="2:28" s="12" customFormat="1" x14ac:dyDescent="0.3">
      <c r="B169" s="78"/>
      <c r="C169" s="78"/>
      <c r="D169" s="78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</row>
    <row r="170" spans="2:28" s="12" customFormat="1" x14ac:dyDescent="0.3"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  <c r="AA170" s="41"/>
      <c r="AB170" s="41"/>
    </row>
    <row r="171" spans="2:28" s="12" customFormat="1" x14ac:dyDescent="0.3">
      <c r="B171" s="78"/>
      <c r="C171" s="78"/>
      <c r="D171" s="78"/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</row>
    <row r="172" spans="2:28" s="12" customFormat="1" x14ac:dyDescent="0.3">
      <c r="B172" s="78"/>
      <c r="C172" s="78"/>
      <c r="D172" s="78"/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</row>
    <row r="173" spans="2:28" s="12" customFormat="1" x14ac:dyDescent="0.3">
      <c r="B173" s="78"/>
      <c r="C173" s="78"/>
      <c r="D173" s="78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</row>
    <row r="174" spans="2:28" s="12" customFormat="1" x14ac:dyDescent="0.3">
      <c r="B174" s="78"/>
      <c r="C174" s="78"/>
      <c r="D174" s="78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</row>
    <row r="175" spans="2:28" s="12" customFormat="1" x14ac:dyDescent="0.3">
      <c r="B175" s="78"/>
      <c r="C175" s="78"/>
      <c r="D175" s="78"/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</row>
    <row r="176" spans="2:28" s="12" customFormat="1" x14ac:dyDescent="0.3">
      <c r="B176" s="78"/>
      <c r="C176" s="78"/>
      <c r="D176" s="78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</row>
    <row r="177" spans="2:28" s="12" customFormat="1" x14ac:dyDescent="0.3">
      <c r="B177" s="78"/>
      <c r="C177" s="78"/>
      <c r="D177" s="78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</row>
    <row r="178" spans="2:28" s="12" customFormat="1" x14ac:dyDescent="0.3">
      <c r="B178" s="78"/>
      <c r="C178" s="78"/>
      <c r="D178" s="78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</row>
    <row r="179" spans="2:28" s="12" customFormat="1" x14ac:dyDescent="0.3">
      <c r="B179" s="78"/>
      <c r="C179" s="78"/>
      <c r="D179" s="78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</row>
    <row r="180" spans="2:28" s="12" customFormat="1" x14ac:dyDescent="0.3">
      <c r="B180" s="78"/>
      <c r="C180" s="78"/>
      <c r="D180" s="78"/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</row>
    <row r="181" spans="2:28" s="12" customFormat="1" x14ac:dyDescent="0.3">
      <c r="B181" s="78"/>
      <c r="C181" s="78"/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</row>
    <row r="182" spans="2:28" s="12" customFormat="1" x14ac:dyDescent="0.3">
      <c r="B182" s="78"/>
      <c r="C182" s="78"/>
      <c r="D182" s="78"/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</row>
    <row r="183" spans="2:28" s="12" customFormat="1" x14ac:dyDescent="0.3">
      <c r="B183" s="78"/>
      <c r="C183" s="78"/>
      <c r="D183" s="78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</row>
    <row r="184" spans="2:28" s="12" customFormat="1" x14ac:dyDescent="0.3">
      <c r="B184" s="78"/>
      <c r="C184" s="78"/>
      <c r="D184" s="78"/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</row>
    <row r="185" spans="2:28" s="12" customFormat="1" x14ac:dyDescent="0.3">
      <c r="B185" s="78"/>
      <c r="C185" s="78"/>
      <c r="D185" s="78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</row>
    <row r="186" spans="2:28" s="12" customFormat="1" x14ac:dyDescent="0.3">
      <c r="B186" s="78"/>
      <c r="C186" s="78"/>
      <c r="D186" s="78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</row>
    <row r="187" spans="2:28" s="12" customFormat="1" x14ac:dyDescent="0.3">
      <c r="B187" s="78"/>
      <c r="C187" s="78"/>
      <c r="D187" s="78"/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</row>
    <row r="188" spans="2:28" s="12" customFormat="1" x14ac:dyDescent="0.3">
      <c r="B188" s="78"/>
      <c r="C188" s="78"/>
      <c r="D188" s="78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</row>
    <row r="189" spans="2:28" s="12" customFormat="1" x14ac:dyDescent="0.3">
      <c r="B189" s="78"/>
      <c r="C189" s="78"/>
      <c r="D189" s="78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</row>
    <row r="190" spans="2:28" s="12" customFormat="1" x14ac:dyDescent="0.3">
      <c r="B190" s="78"/>
      <c r="C190" s="78"/>
      <c r="D190" s="78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</row>
    <row r="191" spans="2:28" s="12" customFormat="1" x14ac:dyDescent="0.3">
      <c r="B191" s="78"/>
      <c r="C191" s="78"/>
      <c r="D191" s="78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</row>
    <row r="192" spans="2:28" s="12" customFormat="1" x14ac:dyDescent="0.3">
      <c r="B192" s="78"/>
      <c r="C192" s="78"/>
      <c r="D192" s="78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</row>
    <row r="193" spans="2:28" s="12" customFormat="1" x14ac:dyDescent="0.3">
      <c r="B193" s="78"/>
      <c r="C193" s="78"/>
      <c r="D193" s="78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</row>
    <row r="194" spans="2:28" s="12" customFormat="1" x14ac:dyDescent="0.3">
      <c r="B194" s="78"/>
      <c r="C194" s="78"/>
      <c r="D194" s="78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</row>
    <row r="195" spans="2:28" s="12" customFormat="1" x14ac:dyDescent="0.3">
      <c r="B195" s="78"/>
      <c r="C195" s="78"/>
      <c r="D195" s="78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</row>
    <row r="196" spans="2:28" s="12" customFormat="1" ht="20.25" customHeight="1" x14ac:dyDescent="0.3"/>
    <row r="197" spans="2:28" s="12" customFormat="1" x14ac:dyDescent="0.3">
      <c r="B197" s="78"/>
      <c r="C197" s="78"/>
      <c r="D197" s="78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</row>
    <row r="198" spans="2:28" s="12" customFormat="1" x14ac:dyDescent="0.3">
      <c r="B198" s="78"/>
      <c r="C198" s="78"/>
      <c r="D198" s="78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</row>
    <row r="199" spans="2:28" s="12" customFormat="1" x14ac:dyDescent="0.3">
      <c r="B199" s="78"/>
      <c r="C199" s="78"/>
      <c r="D199" s="78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</row>
    <row r="200" spans="2:28" s="12" customFormat="1" x14ac:dyDescent="0.3">
      <c r="B200" s="78"/>
      <c r="C200" s="78"/>
      <c r="D200" s="78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</row>
    <row r="201" spans="2:28" s="12" customFormat="1" x14ac:dyDescent="0.3">
      <c r="B201" s="78"/>
      <c r="C201" s="78"/>
      <c r="D201" s="78"/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</row>
    <row r="202" spans="2:28" s="12" customFormat="1" x14ac:dyDescent="0.3">
      <c r="B202" s="78"/>
      <c r="C202" s="78"/>
      <c r="D202" s="78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</row>
    <row r="203" spans="2:28" s="12" customFormat="1" x14ac:dyDescent="0.3">
      <c r="B203" s="78"/>
      <c r="C203" s="78"/>
      <c r="D203" s="78"/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</row>
    <row r="204" spans="2:28" s="12" customFormat="1" x14ac:dyDescent="0.3">
      <c r="B204" s="78"/>
      <c r="C204" s="78"/>
      <c r="D204" s="78"/>
      <c r="E204" s="78"/>
      <c r="F204" s="78"/>
      <c r="G204" s="78"/>
      <c r="H204" s="78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</row>
    <row r="205" spans="2:28" s="12" customFormat="1" x14ac:dyDescent="0.3">
      <c r="B205" s="78"/>
      <c r="C205" s="78"/>
      <c r="D205" s="78"/>
      <c r="E205" s="78"/>
      <c r="F205" s="78"/>
      <c r="G205" s="78"/>
      <c r="H205" s="78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</row>
    <row r="206" spans="2:28" s="12" customFormat="1" x14ac:dyDescent="0.3">
      <c r="B206" s="78"/>
      <c r="C206" s="78"/>
      <c r="D206" s="78"/>
      <c r="E206" s="78"/>
      <c r="F206" s="78"/>
      <c r="G206" s="78"/>
      <c r="H206" s="78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</row>
    <row r="207" spans="2:28" s="12" customFormat="1" x14ac:dyDescent="0.3">
      <c r="B207" s="78"/>
      <c r="C207" s="78"/>
      <c r="D207" s="78"/>
      <c r="E207" s="78"/>
      <c r="F207" s="78"/>
      <c r="G207" s="78"/>
      <c r="H207" s="78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</row>
    <row r="208" spans="2:28" s="12" customFormat="1" x14ac:dyDescent="0.3">
      <c r="B208" s="78"/>
      <c r="C208" s="78"/>
      <c r="D208" s="78"/>
      <c r="E208" s="78"/>
      <c r="F208" s="78"/>
      <c r="G208" s="78"/>
      <c r="H208" s="78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</row>
    <row r="209" spans="2:28" s="12" customFormat="1" x14ac:dyDescent="0.3">
      <c r="B209" s="78"/>
      <c r="C209" s="78"/>
      <c r="D209" s="78"/>
      <c r="E209" s="78"/>
      <c r="F209" s="78"/>
      <c r="G209" s="78"/>
      <c r="H209" s="78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</row>
    <row r="210" spans="2:28" s="12" customFormat="1" x14ac:dyDescent="0.3">
      <c r="B210" s="78"/>
      <c r="C210" s="78"/>
      <c r="D210" s="78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</row>
    <row r="211" spans="2:28" s="12" customFormat="1" x14ac:dyDescent="0.3">
      <c r="B211" s="78"/>
      <c r="C211" s="78"/>
      <c r="D211" s="78"/>
      <c r="E211" s="78"/>
      <c r="F211" s="78"/>
      <c r="G211" s="78"/>
      <c r="H211" s="78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</row>
    <row r="212" spans="2:28" s="12" customFormat="1" x14ac:dyDescent="0.3">
      <c r="B212" s="78"/>
      <c r="C212" s="78"/>
      <c r="D212" s="78"/>
      <c r="E212" s="78"/>
      <c r="F212" s="78"/>
      <c r="G212" s="78"/>
      <c r="H212" s="78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</row>
    <row r="213" spans="2:28" s="12" customFormat="1" x14ac:dyDescent="0.3">
      <c r="B213" s="78"/>
      <c r="C213" s="78"/>
      <c r="D213" s="78"/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</row>
    <row r="214" spans="2:28" s="12" customFormat="1" x14ac:dyDescent="0.3">
      <c r="B214" s="78"/>
      <c r="C214" s="78"/>
      <c r="D214" s="78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</row>
    <row r="215" spans="2:28" s="12" customFormat="1" x14ac:dyDescent="0.3">
      <c r="B215" s="78"/>
      <c r="C215" s="78"/>
      <c r="D215" s="78"/>
      <c r="E215" s="78"/>
      <c r="F215" s="78"/>
      <c r="G215" s="78"/>
      <c r="H215" s="78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</row>
    <row r="216" spans="2:28" s="12" customFormat="1" x14ac:dyDescent="0.3">
      <c r="B216" s="78"/>
      <c r="C216" s="78"/>
      <c r="D216" s="78"/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</row>
    <row r="217" spans="2:28" s="12" customFormat="1" x14ac:dyDescent="0.3">
      <c r="B217" s="78"/>
      <c r="C217" s="78"/>
      <c r="D217" s="78"/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</row>
    <row r="218" spans="2:28" s="12" customFormat="1" x14ac:dyDescent="0.3">
      <c r="B218" s="78"/>
      <c r="C218" s="78"/>
      <c r="D218" s="78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</row>
    <row r="219" spans="2:28" s="12" customFormat="1" x14ac:dyDescent="0.3">
      <c r="B219" s="78"/>
      <c r="C219" s="78"/>
      <c r="D219" s="78"/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</row>
    <row r="220" spans="2:28" s="12" customFormat="1" x14ac:dyDescent="0.3">
      <c r="B220" s="78"/>
      <c r="C220" s="78"/>
      <c r="D220" s="78"/>
      <c r="E220" s="78"/>
      <c r="F220" s="78"/>
      <c r="G220" s="78"/>
      <c r="H220" s="78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</row>
    <row r="221" spans="2:28" s="12" customFormat="1" x14ac:dyDescent="0.3"/>
    <row r="222" spans="2:28" s="12" customFormat="1" x14ac:dyDescent="0.3"/>
    <row r="223" spans="2:28" s="12" customFormat="1" x14ac:dyDescent="0.3"/>
    <row r="224" spans="2:28" s="12" customFormat="1" hidden="1" x14ac:dyDescent="0.3"/>
    <row r="225" s="12" customFormat="1" hidden="1" x14ac:dyDescent="0.3"/>
    <row r="226" s="12" customFormat="1" hidden="1" x14ac:dyDescent="0.3"/>
    <row r="227" s="12" customFormat="1" hidden="1" x14ac:dyDescent="0.3"/>
    <row r="228" s="12" customFormat="1" hidden="1" x14ac:dyDescent="0.3"/>
    <row r="229" s="12" customFormat="1" hidden="1" x14ac:dyDescent="0.3"/>
    <row r="230" s="12" customFormat="1" hidden="1" x14ac:dyDescent="0.3"/>
    <row r="231" s="12" customFormat="1" hidden="1" x14ac:dyDescent="0.3"/>
    <row r="232" s="12" customFormat="1" hidden="1" x14ac:dyDescent="0.3"/>
    <row r="233" s="12" customFormat="1" hidden="1" x14ac:dyDescent="0.3"/>
    <row r="234" s="12" customFormat="1" hidden="1" x14ac:dyDescent="0.3"/>
    <row r="235" s="12" customFormat="1" hidden="1" x14ac:dyDescent="0.3"/>
    <row r="236" s="12" customFormat="1" hidden="1" x14ac:dyDescent="0.3"/>
    <row r="237" s="12" customFormat="1" hidden="1" x14ac:dyDescent="0.3"/>
    <row r="238" s="12" customFormat="1" hidden="1" x14ac:dyDescent="0.3"/>
    <row r="239" s="12" customFormat="1" hidden="1" x14ac:dyDescent="0.3"/>
    <row r="240" s="12" customFormat="1" hidden="1" x14ac:dyDescent="0.3"/>
    <row r="241" s="12" customFormat="1" hidden="1" x14ac:dyDescent="0.3"/>
    <row r="242" s="12" customFormat="1" hidden="1" x14ac:dyDescent="0.3"/>
    <row r="243" s="12" customFormat="1" hidden="1" x14ac:dyDescent="0.3"/>
    <row r="244" s="12" customFormat="1" hidden="1" x14ac:dyDescent="0.3"/>
    <row r="245" s="12" customFormat="1" hidden="1" x14ac:dyDescent="0.3"/>
    <row r="246" s="12" customFormat="1" hidden="1" x14ac:dyDescent="0.3"/>
    <row r="247" s="12" customFormat="1" hidden="1" x14ac:dyDescent="0.3"/>
    <row r="248" s="12" customFormat="1" hidden="1" x14ac:dyDescent="0.3"/>
    <row r="249" s="12" customFormat="1" hidden="1" x14ac:dyDescent="0.3"/>
    <row r="250" s="12" customFormat="1" hidden="1" x14ac:dyDescent="0.3"/>
    <row r="251" s="12" customFormat="1" hidden="1" x14ac:dyDescent="0.3"/>
    <row r="252" s="12" customFormat="1" hidden="1" x14ac:dyDescent="0.3"/>
    <row r="253" s="12" customFormat="1" hidden="1" x14ac:dyDescent="0.3"/>
    <row r="254" s="12" customFormat="1" hidden="1" x14ac:dyDescent="0.3"/>
    <row r="255" s="12" customFormat="1" hidden="1" x14ac:dyDescent="0.3"/>
    <row r="256" s="12" customFormat="1" hidden="1" x14ac:dyDescent="0.3"/>
    <row r="257" s="12" customFormat="1" hidden="1" x14ac:dyDescent="0.3"/>
    <row r="258" s="12" customFormat="1" hidden="1" x14ac:dyDescent="0.3"/>
    <row r="259" s="12" customFormat="1" hidden="1" x14ac:dyDescent="0.3"/>
    <row r="260" s="12" customFormat="1" hidden="1" x14ac:dyDescent="0.3"/>
    <row r="261" s="12" customFormat="1" hidden="1" x14ac:dyDescent="0.3"/>
    <row r="262" s="12" customFormat="1" hidden="1" x14ac:dyDescent="0.3"/>
    <row r="263" s="12" customFormat="1" hidden="1" x14ac:dyDescent="0.3"/>
    <row r="264" s="12" customFormat="1" hidden="1" x14ac:dyDescent="0.3"/>
    <row r="265" s="12" customFormat="1" hidden="1" x14ac:dyDescent="0.3"/>
    <row r="266" s="12" customFormat="1" hidden="1" x14ac:dyDescent="0.3"/>
    <row r="267" s="12" customFormat="1" hidden="1" x14ac:dyDescent="0.3"/>
    <row r="268" s="12" customFormat="1" hidden="1" x14ac:dyDescent="0.3"/>
    <row r="269" s="12" customFormat="1" hidden="1" x14ac:dyDescent="0.3"/>
    <row r="270" s="12" customFormat="1" hidden="1" x14ac:dyDescent="0.3"/>
    <row r="271" s="12" customFormat="1" hidden="1" x14ac:dyDescent="0.3"/>
    <row r="272" s="12" customFormat="1" hidden="1" x14ac:dyDescent="0.3"/>
    <row r="273" s="12" customFormat="1" hidden="1" x14ac:dyDescent="0.3"/>
    <row r="274" s="12" customFormat="1" hidden="1" x14ac:dyDescent="0.3"/>
    <row r="275" s="12" customFormat="1" hidden="1" x14ac:dyDescent="0.3"/>
    <row r="276" s="12" customFormat="1" hidden="1" x14ac:dyDescent="0.3"/>
    <row r="277" s="12" customFormat="1" hidden="1" x14ac:dyDescent="0.3"/>
    <row r="278" s="12" customFormat="1" hidden="1" x14ac:dyDescent="0.3"/>
    <row r="279" s="12" customFormat="1" hidden="1" x14ac:dyDescent="0.3"/>
    <row r="280" s="12" customFormat="1" hidden="1" x14ac:dyDescent="0.3"/>
    <row r="281" s="12" customFormat="1" hidden="1" x14ac:dyDescent="0.3"/>
    <row r="282" s="12" customFormat="1" hidden="1" x14ac:dyDescent="0.3"/>
    <row r="283" s="12" customFormat="1" hidden="1" x14ac:dyDescent="0.3"/>
    <row r="284" s="12" customFormat="1" hidden="1" x14ac:dyDescent="0.3"/>
    <row r="285" s="12" customFormat="1" hidden="1" x14ac:dyDescent="0.3"/>
    <row r="286" s="12" customFormat="1" hidden="1" x14ac:dyDescent="0.3"/>
    <row r="287" s="12" customFormat="1" hidden="1" x14ac:dyDescent="0.3"/>
    <row r="288" s="12" customFormat="1" hidden="1" x14ac:dyDescent="0.3"/>
    <row r="289" s="12" customFormat="1" hidden="1" x14ac:dyDescent="0.3"/>
    <row r="290" s="12" customFormat="1" hidden="1" x14ac:dyDescent="0.3"/>
    <row r="291" s="12" customFormat="1" hidden="1" x14ac:dyDescent="0.3"/>
    <row r="292" s="12" customFormat="1" hidden="1" x14ac:dyDescent="0.3"/>
    <row r="293" s="12" customFormat="1" hidden="1" x14ac:dyDescent="0.3"/>
    <row r="294" s="12" customFormat="1" hidden="1" x14ac:dyDescent="0.3"/>
    <row r="295" s="12" customFormat="1" hidden="1" x14ac:dyDescent="0.3"/>
    <row r="296" s="12" customFormat="1" hidden="1" x14ac:dyDescent="0.3"/>
    <row r="297" s="12" customFormat="1" hidden="1" x14ac:dyDescent="0.3"/>
    <row r="298" s="12" customFormat="1" hidden="1" x14ac:dyDescent="0.3"/>
    <row r="299" s="12" customFormat="1" hidden="1" x14ac:dyDescent="0.3"/>
    <row r="300" s="12" customFormat="1" hidden="1" x14ac:dyDescent="0.3"/>
    <row r="301" s="12" customFormat="1" hidden="1" x14ac:dyDescent="0.3"/>
    <row r="302" s="12" customFormat="1" hidden="1" x14ac:dyDescent="0.3"/>
    <row r="303" s="12" customFormat="1" hidden="1" x14ac:dyDescent="0.3"/>
    <row r="304" s="12" customFormat="1" hidden="1" x14ac:dyDescent="0.3"/>
    <row r="305" s="12" customFormat="1" hidden="1" x14ac:dyDescent="0.3"/>
    <row r="306" s="12" customFormat="1" hidden="1" x14ac:dyDescent="0.3"/>
    <row r="307" s="12" customFormat="1" hidden="1" x14ac:dyDescent="0.3"/>
    <row r="308" s="12" customFormat="1" hidden="1" x14ac:dyDescent="0.3"/>
    <row r="309" s="12" customFormat="1" hidden="1" x14ac:dyDescent="0.3"/>
    <row r="310" s="12" customFormat="1" hidden="1" x14ac:dyDescent="0.3"/>
    <row r="311" s="12" customFormat="1" hidden="1" x14ac:dyDescent="0.3"/>
    <row r="312" s="12" customFormat="1" hidden="1" x14ac:dyDescent="0.3"/>
    <row r="313" s="12" customFormat="1" hidden="1" x14ac:dyDescent="0.3"/>
    <row r="314" s="12" customFormat="1" hidden="1" x14ac:dyDescent="0.3"/>
    <row r="315" s="12" customFormat="1" hidden="1" x14ac:dyDescent="0.3"/>
    <row r="316" s="12" customFormat="1" hidden="1" x14ac:dyDescent="0.3"/>
    <row r="317" s="12" customFormat="1" hidden="1" x14ac:dyDescent="0.3"/>
    <row r="318" s="12" customFormat="1" hidden="1" x14ac:dyDescent="0.3"/>
    <row r="319" s="12" customFormat="1" hidden="1" x14ac:dyDescent="0.3"/>
    <row r="320" s="12" customFormat="1" hidden="1" x14ac:dyDescent="0.3"/>
    <row r="321" s="12" customFormat="1" hidden="1" x14ac:dyDescent="0.3"/>
    <row r="322" s="12" customFormat="1" hidden="1" x14ac:dyDescent="0.3"/>
    <row r="323" s="12" customFormat="1" hidden="1" x14ac:dyDescent="0.3"/>
    <row r="324" s="12" customFormat="1" hidden="1" x14ac:dyDescent="0.3"/>
    <row r="325" s="12" customFormat="1" hidden="1" x14ac:dyDescent="0.3"/>
    <row r="326" s="12" customFormat="1" hidden="1" x14ac:dyDescent="0.3"/>
    <row r="327" s="12" customFormat="1" hidden="1" x14ac:dyDescent="0.3"/>
    <row r="328" s="12" customFormat="1" hidden="1" x14ac:dyDescent="0.3"/>
    <row r="329" s="12" customFormat="1" hidden="1" x14ac:dyDescent="0.3"/>
    <row r="330" s="12" customFormat="1" hidden="1" x14ac:dyDescent="0.3"/>
    <row r="331" s="12" customFormat="1" hidden="1" x14ac:dyDescent="0.3"/>
    <row r="332" s="12" customFormat="1" hidden="1" x14ac:dyDescent="0.3"/>
    <row r="333" s="12" customFormat="1" hidden="1" x14ac:dyDescent="0.3"/>
    <row r="334" s="12" customFormat="1" hidden="1" x14ac:dyDescent="0.3"/>
    <row r="335" s="12" customFormat="1" hidden="1" x14ac:dyDescent="0.3"/>
    <row r="336" s="12" customFormat="1" hidden="1" x14ac:dyDescent="0.3"/>
    <row r="337" s="12" customFormat="1" hidden="1" x14ac:dyDescent="0.3"/>
    <row r="338" s="12" customFormat="1" hidden="1" x14ac:dyDescent="0.3"/>
    <row r="339" s="12" customFormat="1" hidden="1" x14ac:dyDescent="0.3"/>
    <row r="340" s="12" customFormat="1" hidden="1" x14ac:dyDescent="0.3"/>
    <row r="341" s="12" customFormat="1" hidden="1" x14ac:dyDescent="0.3"/>
    <row r="342" s="12" customFormat="1" hidden="1" x14ac:dyDescent="0.3"/>
    <row r="343" s="12" customFormat="1" hidden="1" x14ac:dyDescent="0.3"/>
    <row r="344" s="12" customFormat="1" hidden="1" x14ac:dyDescent="0.3"/>
    <row r="345" s="12" customFormat="1" hidden="1" x14ac:dyDescent="0.3"/>
    <row r="346" s="12" customFormat="1" hidden="1" x14ac:dyDescent="0.3"/>
    <row r="347" s="12" customFormat="1" hidden="1" x14ac:dyDescent="0.3"/>
    <row r="348" s="12" customFormat="1" hidden="1" x14ac:dyDescent="0.3"/>
    <row r="349" s="12" customFormat="1" hidden="1" x14ac:dyDescent="0.3"/>
    <row r="350" s="12" customFormat="1" hidden="1" x14ac:dyDescent="0.3"/>
    <row r="351" s="12" customFormat="1" hidden="1" x14ac:dyDescent="0.3"/>
    <row r="352" s="12" customFormat="1" hidden="1" x14ac:dyDescent="0.3"/>
    <row r="353" s="12" customFormat="1" hidden="1" x14ac:dyDescent="0.3"/>
    <row r="354" s="12" customFormat="1" hidden="1" x14ac:dyDescent="0.3"/>
    <row r="355" s="12" customFormat="1" hidden="1" x14ac:dyDescent="0.3"/>
    <row r="356" s="12" customFormat="1" hidden="1" x14ac:dyDescent="0.3"/>
    <row r="357" s="12" customFormat="1" hidden="1" x14ac:dyDescent="0.3"/>
    <row r="358" s="12" customFormat="1" hidden="1" x14ac:dyDescent="0.3"/>
    <row r="359" s="12" customFormat="1" hidden="1" x14ac:dyDescent="0.3"/>
    <row r="360" s="12" customFormat="1" hidden="1" x14ac:dyDescent="0.3"/>
    <row r="361" s="12" customFormat="1" hidden="1" x14ac:dyDescent="0.3"/>
    <row r="362" s="12" customFormat="1" hidden="1" x14ac:dyDescent="0.3"/>
    <row r="363" s="12" customFormat="1" hidden="1" x14ac:dyDescent="0.3"/>
    <row r="364" s="12" customFormat="1" hidden="1" x14ac:dyDescent="0.3"/>
    <row r="365" s="12" customFormat="1" hidden="1" x14ac:dyDescent="0.3"/>
    <row r="366" s="12" customFormat="1" hidden="1" x14ac:dyDescent="0.3"/>
    <row r="367" s="12" customFormat="1" hidden="1" x14ac:dyDescent="0.3"/>
    <row r="368" s="12" customFormat="1" hidden="1" x14ac:dyDescent="0.3"/>
    <row r="369" s="12" customFormat="1" hidden="1" x14ac:dyDescent="0.3"/>
    <row r="370" s="12" customFormat="1" hidden="1" x14ac:dyDescent="0.3"/>
    <row r="371" s="12" customFormat="1" hidden="1" x14ac:dyDescent="0.3"/>
    <row r="372" s="12" customFormat="1" hidden="1" x14ac:dyDescent="0.3"/>
    <row r="373" s="12" customFormat="1" hidden="1" x14ac:dyDescent="0.3"/>
    <row r="374" s="12" customFormat="1" hidden="1" x14ac:dyDescent="0.3"/>
    <row r="375" s="12" customFormat="1" hidden="1" x14ac:dyDescent="0.3"/>
    <row r="376" s="12" customFormat="1" hidden="1" x14ac:dyDescent="0.3"/>
    <row r="377" s="12" customFormat="1" hidden="1" x14ac:dyDescent="0.3"/>
    <row r="378" s="12" customFormat="1" hidden="1" x14ac:dyDescent="0.3"/>
    <row r="379" s="12" customFormat="1" hidden="1" x14ac:dyDescent="0.3"/>
    <row r="380" s="12" customFormat="1" hidden="1" x14ac:dyDescent="0.3"/>
    <row r="381" s="12" customFormat="1" hidden="1" x14ac:dyDescent="0.3"/>
    <row r="382" s="12" customFormat="1" hidden="1" x14ac:dyDescent="0.3"/>
    <row r="383" s="12" customFormat="1" hidden="1" x14ac:dyDescent="0.3"/>
    <row r="384" s="12" customFormat="1" hidden="1" x14ac:dyDescent="0.3"/>
    <row r="385" s="12" customFormat="1" hidden="1" x14ac:dyDescent="0.3"/>
    <row r="386" s="12" customFormat="1" hidden="1" x14ac:dyDescent="0.3"/>
    <row r="387" s="12" customFormat="1" hidden="1" x14ac:dyDescent="0.3"/>
    <row r="388" s="12" customFormat="1" hidden="1" x14ac:dyDescent="0.3"/>
    <row r="389" s="12" customFormat="1" hidden="1" x14ac:dyDescent="0.3"/>
    <row r="390" s="12" customFormat="1" hidden="1" x14ac:dyDescent="0.3"/>
    <row r="391" s="12" customFormat="1" hidden="1" x14ac:dyDescent="0.3"/>
    <row r="392" s="12" customFormat="1" hidden="1" x14ac:dyDescent="0.3"/>
    <row r="393" s="12" customFormat="1" hidden="1" x14ac:dyDescent="0.3"/>
    <row r="394" s="12" customFormat="1" hidden="1" x14ac:dyDescent="0.3"/>
    <row r="395" s="12" customFormat="1" hidden="1" x14ac:dyDescent="0.3"/>
    <row r="396" s="12" customFormat="1" hidden="1" x14ac:dyDescent="0.3"/>
    <row r="397" s="12" customFormat="1" hidden="1" x14ac:dyDescent="0.3"/>
    <row r="398" s="12" customFormat="1" hidden="1" x14ac:dyDescent="0.3"/>
    <row r="399" s="12" customFormat="1" hidden="1" x14ac:dyDescent="0.3"/>
    <row r="400" s="12" customFormat="1" hidden="1" x14ac:dyDescent="0.3"/>
    <row r="401" s="12" customFormat="1" hidden="1" x14ac:dyDescent="0.3"/>
    <row r="402" s="12" customFormat="1" hidden="1" x14ac:dyDescent="0.3"/>
    <row r="403" s="12" customFormat="1" hidden="1" x14ac:dyDescent="0.3"/>
    <row r="404" s="12" customFormat="1" hidden="1" x14ac:dyDescent="0.3"/>
    <row r="405" s="12" customFormat="1" hidden="1" x14ac:dyDescent="0.3"/>
    <row r="406" s="12" customFormat="1" hidden="1" x14ac:dyDescent="0.3"/>
    <row r="407" s="12" customFormat="1" hidden="1" x14ac:dyDescent="0.3"/>
    <row r="408" s="12" customFormat="1" hidden="1" x14ac:dyDescent="0.3"/>
    <row r="409" s="12" customFormat="1" hidden="1" x14ac:dyDescent="0.3"/>
    <row r="410" s="12" customFormat="1" hidden="1" x14ac:dyDescent="0.3"/>
    <row r="411" s="12" customFormat="1" hidden="1" x14ac:dyDescent="0.3"/>
    <row r="412" s="12" customFormat="1" hidden="1" x14ac:dyDescent="0.3"/>
    <row r="413" s="12" customFormat="1" hidden="1" x14ac:dyDescent="0.3"/>
    <row r="414" s="12" customFormat="1" hidden="1" x14ac:dyDescent="0.3"/>
    <row r="415" s="12" customFormat="1" hidden="1" x14ac:dyDescent="0.3"/>
    <row r="416" s="12" customFormat="1" hidden="1" x14ac:dyDescent="0.3"/>
    <row r="417" s="12" customFormat="1" hidden="1" x14ac:dyDescent="0.3"/>
    <row r="418" s="12" customFormat="1" hidden="1" x14ac:dyDescent="0.3"/>
    <row r="419" s="12" customFormat="1" hidden="1" x14ac:dyDescent="0.3"/>
    <row r="420" s="12" customFormat="1" hidden="1" x14ac:dyDescent="0.3"/>
    <row r="421" s="12" customFormat="1" hidden="1" x14ac:dyDescent="0.3"/>
    <row r="422" s="12" customFormat="1" hidden="1" x14ac:dyDescent="0.3"/>
    <row r="423" s="12" customFormat="1" hidden="1" x14ac:dyDescent="0.3"/>
    <row r="424" s="12" customFormat="1" hidden="1" x14ac:dyDescent="0.3"/>
    <row r="425" s="12" customFormat="1" hidden="1" x14ac:dyDescent="0.3"/>
    <row r="426" s="12" customFormat="1" hidden="1" x14ac:dyDescent="0.3"/>
    <row r="427" s="12" customFormat="1" hidden="1" x14ac:dyDescent="0.3"/>
    <row r="428" s="12" customFormat="1" hidden="1" x14ac:dyDescent="0.3"/>
    <row r="429" s="12" customFormat="1" hidden="1" x14ac:dyDescent="0.3"/>
    <row r="430" s="12" customFormat="1" hidden="1" x14ac:dyDescent="0.3"/>
    <row r="431" s="12" customFormat="1" hidden="1" x14ac:dyDescent="0.3"/>
    <row r="432" s="12" customFormat="1" hidden="1" x14ac:dyDescent="0.3"/>
    <row r="433" s="12" customFormat="1" hidden="1" x14ac:dyDescent="0.3"/>
    <row r="434" s="12" customFormat="1" hidden="1" x14ac:dyDescent="0.3"/>
    <row r="435" s="12" customFormat="1" hidden="1" x14ac:dyDescent="0.3"/>
    <row r="436" s="12" customFormat="1" hidden="1" x14ac:dyDescent="0.3"/>
    <row r="437" s="12" customFormat="1" hidden="1" x14ac:dyDescent="0.3"/>
    <row r="438" s="12" customFormat="1" hidden="1" x14ac:dyDescent="0.3"/>
    <row r="439" s="12" customFormat="1" hidden="1" x14ac:dyDescent="0.3"/>
    <row r="440" s="12" customFormat="1" hidden="1" x14ac:dyDescent="0.3"/>
    <row r="441" s="12" customFormat="1" hidden="1" x14ac:dyDescent="0.3"/>
    <row r="442" s="12" customFormat="1" hidden="1" x14ac:dyDescent="0.3"/>
    <row r="443" s="12" customFormat="1" hidden="1" x14ac:dyDescent="0.3"/>
    <row r="444" s="12" customFormat="1" hidden="1" x14ac:dyDescent="0.3"/>
    <row r="445" s="12" customFormat="1" hidden="1" x14ac:dyDescent="0.3"/>
    <row r="446" s="12" customFormat="1" hidden="1" x14ac:dyDescent="0.3"/>
    <row r="447" s="12" customFormat="1" hidden="1" x14ac:dyDescent="0.3"/>
    <row r="448" s="12" customFormat="1" hidden="1" x14ac:dyDescent="0.3"/>
    <row r="449" s="12" customFormat="1" hidden="1" x14ac:dyDescent="0.3"/>
    <row r="450" s="12" customFormat="1" hidden="1" x14ac:dyDescent="0.3"/>
    <row r="451" s="12" customFormat="1" hidden="1" x14ac:dyDescent="0.3"/>
    <row r="452" s="12" customFormat="1" hidden="1" x14ac:dyDescent="0.3"/>
    <row r="453" s="12" customFormat="1" hidden="1" x14ac:dyDescent="0.3"/>
    <row r="454" ht="14.4" customHeight="1" x14ac:dyDescent="0.3"/>
    <row r="455" ht="14.4" customHeight="1" x14ac:dyDescent="0.3"/>
    <row r="456" ht="14.4" customHeight="1" x14ac:dyDescent="0.3"/>
  </sheetData>
  <mergeCells count="3">
    <mergeCell ref="A1:X1"/>
    <mergeCell ref="Y1:AA1"/>
    <mergeCell ref="A2:AC2"/>
  </mergeCells>
  <hyperlinks>
    <hyperlink ref="Y1:AA1" location="'Front Page'!A1" display="Return to Contents" xr:uid="{00000000-0004-0000-0A00-000000000000}"/>
  </hyperlink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D62"/>
  <sheetViews>
    <sheetView showGridLines="0" topLeftCell="A7" zoomScaleNormal="100" workbookViewId="0">
      <selection activeCell="B8" sqref="B8:AA8"/>
    </sheetView>
  </sheetViews>
  <sheetFormatPr defaultColWidth="0" defaultRowHeight="0" customHeight="1" zeroHeight="1" x14ac:dyDescent="0.3"/>
  <cols>
    <col min="1" max="1" width="4" style="33" customWidth="1"/>
    <col min="2" max="2" width="60.109375" style="33" customWidth="1"/>
    <col min="3" max="3" width="11.6640625" style="33" customWidth="1"/>
    <col min="4" max="4" width="7.6640625" style="33" customWidth="1"/>
    <col min="5" max="5" width="10" style="33" customWidth="1"/>
    <col min="6" max="7" width="12" style="33" customWidth="1"/>
    <col min="8" max="8" width="5.109375" style="122" customWidth="1"/>
    <col min="9" max="9" width="6.88671875" style="33" customWidth="1"/>
    <col min="10" max="10" width="5.109375" style="122" customWidth="1"/>
    <col min="11" max="11" width="6.88671875" style="33" customWidth="1"/>
    <col min="12" max="12" width="5.109375" style="122" customWidth="1"/>
    <col min="13" max="13" width="6.88671875" style="33" customWidth="1"/>
    <col min="14" max="14" width="5.109375" style="122" customWidth="1"/>
    <col min="15" max="15" width="6.88671875" style="33" customWidth="1"/>
    <col min="16" max="16" width="11.5546875" style="33" customWidth="1"/>
    <col min="17" max="17" width="5.109375" style="122" customWidth="1"/>
    <col min="18" max="18" width="6.88671875" style="33" customWidth="1"/>
    <col min="19" max="19" width="5.109375" style="122" customWidth="1"/>
    <col min="20" max="20" width="6.88671875" style="33" customWidth="1"/>
    <col min="21" max="21" width="5.109375" style="122" customWidth="1"/>
    <col min="22" max="22" width="6.88671875" style="33" customWidth="1"/>
    <col min="23" max="23" width="5.109375" style="122" customWidth="1"/>
    <col min="24" max="24" width="6.88671875" style="33" customWidth="1"/>
    <col min="25" max="25" width="11.5546875" style="33" customWidth="1"/>
    <col min="26" max="27" width="10.6640625" style="33" customWidth="1"/>
    <col min="28" max="28" width="9.109375" style="33" customWidth="1"/>
    <col min="29" max="30" width="0" style="33" hidden="1" customWidth="1"/>
    <col min="31" max="16384" width="9.109375" style="33" hidden="1"/>
  </cols>
  <sheetData>
    <row r="1" spans="1:28" ht="35.25" customHeight="1" x14ac:dyDescent="0.3">
      <c r="A1" s="10"/>
      <c r="B1" s="96" t="s">
        <v>101</v>
      </c>
      <c r="C1" s="83"/>
      <c r="D1" s="83"/>
      <c r="E1" s="83"/>
      <c r="F1" s="83"/>
      <c r="G1" s="83"/>
      <c r="H1" s="116"/>
      <c r="I1" s="83"/>
      <c r="J1" s="116"/>
      <c r="K1" s="83"/>
      <c r="L1" s="116"/>
      <c r="M1" s="83"/>
      <c r="N1" s="116"/>
      <c r="O1" s="83"/>
      <c r="P1" s="83"/>
      <c r="Q1" s="116"/>
      <c r="R1" s="83"/>
      <c r="S1" s="116"/>
      <c r="T1" s="83"/>
      <c r="U1" s="116"/>
      <c r="V1" s="83"/>
      <c r="W1" s="116"/>
      <c r="X1" s="83"/>
      <c r="Y1" s="83"/>
      <c r="Z1" s="83"/>
      <c r="AA1" s="83"/>
      <c r="AB1" s="83"/>
    </row>
    <row r="2" spans="1:28" s="41" customFormat="1" ht="5.0999999999999996" customHeight="1" x14ac:dyDescent="0.3">
      <c r="B2" s="123"/>
      <c r="C2" s="124"/>
      <c r="D2" s="124"/>
      <c r="E2" s="124"/>
      <c r="F2" s="124"/>
      <c r="G2" s="124"/>
      <c r="H2" s="125"/>
      <c r="I2" s="124"/>
      <c r="J2" s="125"/>
      <c r="K2" s="124"/>
      <c r="L2" s="125"/>
      <c r="M2" s="124"/>
      <c r="N2" s="125"/>
      <c r="O2" s="124"/>
      <c r="P2" s="124"/>
      <c r="Q2" s="125"/>
      <c r="R2" s="124"/>
      <c r="S2" s="125"/>
      <c r="T2" s="124"/>
      <c r="U2" s="125"/>
      <c r="V2" s="124"/>
      <c r="W2" s="125"/>
      <c r="X2" s="124"/>
      <c r="Y2" s="124"/>
      <c r="AB2" s="124"/>
    </row>
    <row r="3" spans="1:28" s="92" customFormat="1" ht="31.5" customHeight="1" x14ac:dyDescent="0.35">
      <c r="B3" s="126" t="s">
        <v>95</v>
      </c>
      <c r="C3" s="93"/>
      <c r="D3" s="93"/>
      <c r="E3" s="93"/>
      <c r="F3" s="93"/>
      <c r="H3" s="117"/>
      <c r="I3" s="93"/>
      <c r="J3" s="117"/>
      <c r="K3" s="93"/>
      <c r="L3" s="117"/>
      <c r="M3" s="94"/>
      <c r="N3" s="117"/>
      <c r="O3" s="94"/>
      <c r="P3" s="94"/>
      <c r="Q3" s="117"/>
      <c r="R3" s="94"/>
      <c r="S3" s="117"/>
      <c r="T3" s="94"/>
      <c r="U3" s="117"/>
      <c r="V3" s="94"/>
      <c r="W3" s="117"/>
      <c r="X3" s="94"/>
      <c r="Y3" s="94"/>
      <c r="Z3" s="93"/>
      <c r="AA3" s="95"/>
    </row>
    <row r="4" spans="1:28" ht="35.4" customHeight="1" thickBot="1" x14ac:dyDescent="0.5">
      <c r="B4" s="127" t="s">
        <v>180</v>
      </c>
      <c r="C4" s="13"/>
      <c r="D4" s="13"/>
      <c r="E4" s="13"/>
      <c r="F4" s="42"/>
      <c r="G4" s="13"/>
      <c r="H4" s="118"/>
      <c r="I4" s="13"/>
      <c r="J4" s="118"/>
      <c r="K4" s="13"/>
      <c r="L4" s="118"/>
      <c r="M4" s="14"/>
      <c r="N4" s="118"/>
      <c r="O4" s="14"/>
      <c r="P4" s="14"/>
      <c r="Q4" s="118"/>
      <c r="R4" s="14"/>
      <c r="S4" s="118"/>
      <c r="T4" s="14"/>
      <c r="U4" s="118"/>
      <c r="V4" s="14"/>
      <c r="W4" s="118"/>
      <c r="X4" s="14"/>
      <c r="Y4" s="14"/>
      <c r="Z4" s="13"/>
      <c r="AA4" s="15"/>
    </row>
    <row r="5" spans="1:28" ht="30.75" customHeight="1" thickTop="1" thickBot="1" x14ac:dyDescent="0.35">
      <c r="B5" s="327" t="s">
        <v>14</v>
      </c>
      <c r="C5" s="328" t="s">
        <v>18</v>
      </c>
      <c r="D5" s="328" t="s">
        <v>65</v>
      </c>
      <c r="E5" s="328" t="s">
        <v>19</v>
      </c>
      <c r="F5" s="288" t="s">
        <v>24</v>
      </c>
      <c r="G5" s="289"/>
      <c r="H5" s="288" t="s">
        <v>27</v>
      </c>
      <c r="I5" s="294"/>
      <c r="J5" s="294"/>
      <c r="K5" s="294"/>
      <c r="L5" s="294"/>
      <c r="M5" s="294"/>
      <c r="N5" s="294"/>
      <c r="O5" s="294"/>
      <c r="P5" s="294"/>
      <c r="Q5" s="294"/>
      <c r="R5" s="294"/>
      <c r="S5" s="294"/>
      <c r="T5" s="294"/>
      <c r="U5" s="294"/>
      <c r="V5" s="294"/>
      <c r="W5" s="294"/>
      <c r="X5" s="294"/>
      <c r="Y5" s="294"/>
      <c r="Z5" s="288" t="s">
        <v>3</v>
      </c>
      <c r="AA5" s="289"/>
    </row>
    <row r="6" spans="1:28" ht="44.1" customHeight="1" thickTop="1" thickBot="1" x14ac:dyDescent="0.35">
      <c r="B6" s="327"/>
      <c r="C6" s="329"/>
      <c r="D6" s="329"/>
      <c r="E6" s="329"/>
      <c r="F6" s="290" t="s">
        <v>25</v>
      </c>
      <c r="G6" s="292" t="s">
        <v>26</v>
      </c>
      <c r="H6" s="288" t="s">
        <v>32</v>
      </c>
      <c r="I6" s="294"/>
      <c r="J6" s="294"/>
      <c r="K6" s="294"/>
      <c r="L6" s="294"/>
      <c r="M6" s="294"/>
      <c r="N6" s="294"/>
      <c r="O6" s="294"/>
      <c r="P6" s="294"/>
      <c r="Q6" s="288" t="s">
        <v>31</v>
      </c>
      <c r="R6" s="294"/>
      <c r="S6" s="294"/>
      <c r="T6" s="294"/>
      <c r="U6" s="294"/>
      <c r="V6" s="294"/>
      <c r="W6" s="294"/>
      <c r="X6" s="294"/>
      <c r="Y6" s="294"/>
      <c r="Z6" s="290" t="s">
        <v>9</v>
      </c>
      <c r="AA6" s="292" t="s">
        <v>17</v>
      </c>
    </row>
    <row r="7" spans="1:28" ht="49.5" customHeight="1" thickTop="1" thickBot="1" x14ac:dyDescent="0.35">
      <c r="B7" s="327"/>
      <c r="C7" s="330"/>
      <c r="D7" s="330"/>
      <c r="E7" s="330"/>
      <c r="F7" s="291"/>
      <c r="G7" s="293"/>
      <c r="H7" s="295" t="s">
        <v>117</v>
      </c>
      <c r="I7" s="296"/>
      <c r="J7" s="297" t="s">
        <v>28</v>
      </c>
      <c r="K7" s="297"/>
      <c r="L7" s="297" t="s">
        <v>29</v>
      </c>
      <c r="M7" s="297"/>
      <c r="N7" s="298" t="s">
        <v>30</v>
      </c>
      <c r="O7" s="297"/>
      <c r="P7" s="228" t="s">
        <v>118</v>
      </c>
      <c r="Q7" s="295" t="s">
        <v>117</v>
      </c>
      <c r="R7" s="296"/>
      <c r="S7" s="297" t="s">
        <v>28</v>
      </c>
      <c r="T7" s="297"/>
      <c r="U7" s="297" t="s">
        <v>29</v>
      </c>
      <c r="V7" s="297"/>
      <c r="W7" s="298" t="s">
        <v>30</v>
      </c>
      <c r="X7" s="297"/>
      <c r="Y7" s="228" t="s">
        <v>118</v>
      </c>
      <c r="Z7" s="291"/>
      <c r="AA7" s="293"/>
    </row>
    <row r="8" spans="1:28" s="8" customFormat="1" ht="21.75" customHeight="1" thickTop="1" thickBot="1" x14ac:dyDescent="0.35">
      <c r="B8" s="25" t="str">
        <f>INDEX(Q4_Adult,14,2)</f>
        <v>Bristol, Bristol Heart Institute / Bristol Royal Hospital for Children</v>
      </c>
      <c r="C8" s="25" t="s">
        <v>20</v>
      </c>
      <c r="D8" s="56">
        <v>1</v>
      </c>
      <c r="E8" s="25" t="s">
        <v>21</v>
      </c>
      <c r="F8" s="64" t="str">
        <f>INDEX(Q4_Adult,14,7)</f>
        <v>No data</v>
      </c>
      <c r="G8" s="70" t="str">
        <f>INDEX(Q4_Adult,14,8)</f>
        <v>No data</v>
      </c>
      <c r="H8" s="210" t="str">
        <f>INDEX(Q4_Adult,14,9)</f>
        <v>No data</v>
      </c>
      <c r="I8" s="200">
        <f>IFERROR(H8/P8,0)</f>
        <v>0</v>
      </c>
      <c r="J8" s="201" t="str">
        <f>INDEX(Q4_Adult,14,10)</f>
        <v>No data</v>
      </c>
      <c r="K8" s="200">
        <f>IFERROR(J8/P8,0)</f>
        <v>0</v>
      </c>
      <c r="L8" s="201" t="str">
        <f>INDEX(Q4_Adult,14,11)</f>
        <v>No data</v>
      </c>
      <c r="M8" s="200">
        <f>IFERROR(L8/P8,0)</f>
        <v>0</v>
      </c>
      <c r="N8" s="201" t="str">
        <f>INDEX(Q4_Adult,14,12)</f>
        <v>No data</v>
      </c>
      <c r="O8" s="200">
        <f>IFERROR(N8/P8,0)</f>
        <v>0</v>
      </c>
      <c r="P8" s="202" t="str">
        <f>INDEX(Q4_Adult,14,13)</f>
        <v>No data</v>
      </c>
      <c r="Q8" s="199" t="str">
        <f>INDEX(Q4_Adult,14,15)</f>
        <v>No data</v>
      </c>
      <c r="R8" s="200">
        <f>IFERROR(Q8/Y8,0)</f>
        <v>0</v>
      </c>
      <c r="S8" s="201" t="str">
        <f>INDEX(Q4_Adult,14,16)</f>
        <v>No data</v>
      </c>
      <c r="T8" s="200">
        <f>IFERROR(S8/Y8,0)</f>
        <v>0</v>
      </c>
      <c r="U8" s="203" t="str">
        <f>INDEX(Q4_Adult,14,17)</f>
        <v>No data</v>
      </c>
      <c r="V8" s="200">
        <f>IFERROR(U8/Y8,0)</f>
        <v>0</v>
      </c>
      <c r="W8" s="201" t="str">
        <f>INDEX(Q4_Adult,14,18)</f>
        <v>No data</v>
      </c>
      <c r="X8" s="200">
        <f>IFERROR(W8/Y8,0)</f>
        <v>0</v>
      </c>
      <c r="Y8" s="113" t="str">
        <f>INDEX(Q4_Adult,14,19)</f>
        <v>No data</v>
      </c>
      <c r="Z8" s="66" t="str">
        <f>INDEX(Q4_Adult,14,21)</f>
        <v>No data</v>
      </c>
      <c r="AA8" s="67" t="str">
        <f>INDEX(Q4_Adult,14,22)</f>
        <v>No data</v>
      </c>
    </row>
    <row r="9" spans="1:28" s="8" customFormat="1" ht="21.75" customHeight="1" thickTop="1" thickBot="1" x14ac:dyDescent="0.35">
      <c r="B9" s="26" t="str">
        <f>INDEX(Q4_Adult,6,2)</f>
        <v>Cardiff &amp; Vale UHB, Noah’s Ark / University Hospital Wales</v>
      </c>
      <c r="C9" s="26" t="s">
        <v>20</v>
      </c>
      <c r="D9" s="57">
        <v>2</v>
      </c>
      <c r="E9" s="26" t="s">
        <v>22</v>
      </c>
      <c r="F9" s="65" t="str">
        <f>INDEX(Q4_Adult,6,7)</f>
        <v>No data</v>
      </c>
      <c r="G9" s="71" t="str">
        <f>INDEX(Q4_Adult,6,8)</f>
        <v>No data</v>
      </c>
      <c r="H9" s="204" t="str">
        <f>INDEX(Q4_Adult,6,9)</f>
        <v>No data</v>
      </c>
      <c r="I9" s="205">
        <f>IFERROR(H9/P9,0)</f>
        <v>0</v>
      </c>
      <c r="J9" s="206" t="str">
        <f>INDEX(Q4_Adult,6,10)</f>
        <v>No data</v>
      </c>
      <c r="K9" s="205">
        <f>IFERROR(J9/P9,0)</f>
        <v>0</v>
      </c>
      <c r="L9" s="206" t="str">
        <f>INDEX(Q4_Adult,6,11)</f>
        <v>No data</v>
      </c>
      <c r="M9" s="205">
        <f>IFERROR(L9/P9,0)</f>
        <v>0</v>
      </c>
      <c r="N9" s="206" t="str">
        <f>INDEX(Q4_Adult,6,12)</f>
        <v>No data</v>
      </c>
      <c r="O9" s="205">
        <f>IFERROR(N9/P9,0)</f>
        <v>0</v>
      </c>
      <c r="P9" s="207" t="str">
        <f>INDEX(Q4_Adult,6,13)</f>
        <v>No data</v>
      </c>
      <c r="Q9" s="208" t="str">
        <f>INDEX(Q4_Adult,6,15)</f>
        <v>No data</v>
      </c>
      <c r="R9" s="205">
        <f>IFERROR(Q9/Y9,0)</f>
        <v>0</v>
      </c>
      <c r="S9" s="206" t="str">
        <f>INDEX(Q4_Adult,6,16)</f>
        <v>No data</v>
      </c>
      <c r="T9" s="205">
        <f>IFERROR(S9/Y9,0)</f>
        <v>0</v>
      </c>
      <c r="U9" s="209" t="str">
        <f>INDEX(Q4_Adult,6,17)</f>
        <v>No data</v>
      </c>
      <c r="V9" s="205">
        <f>IFERROR(U9/Y9,0)</f>
        <v>0</v>
      </c>
      <c r="W9" s="206" t="str">
        <f>INDEX(Q4_Adult,6,18)</f>
        <v>No data</v>
      </c>
      <c r="X9" s="205">
        <f>IFERROR(W9/Y9,0)</f>
        <v>0</v>
      </c>
      <c r="Y9" s="114" t="str">
        <f>INDEX(Q4_Adult,6,19)</f>
        <v>No data</v>
      </c>
      <c r="Z9" s="68" t="str">
        <f>INDEX(Q4_Adult,6,21)</f>
        <v>No data</v>
      </c>
      <c r="AA9" s="69" t="str">
        <f>INDEX(Q4_Adult,6,22)</f>
        <v>No data</v>
      </c>
    </row>
    <row r="10" spans="1:28" s="82" customFormat="1" ht="21.75" customHeight="1" thickTop="1" thickBot="1" x14ac:dyDescent="0.35">
      <c r="B10" s="25" t="str">
        <f>INDEX(Q4_Adult,5,2)</f>
        <v>Aneurin Bevan UHB, Nevill Hall &amp; Royal Gwent Hospitals</v>
      </c>
      <c r="C10" s="25" t="s">
        <v>20</v>
      </c>
      <c r="D10" s="56">
        <v>3</v>
      </c>
      <c r="E10" s="25" t="s">
        <v>22</v>
      </c>
      <c r="F10" s="64" t="str">
        <f>INDEX(Q4_Adult,5,7)</f>
        <v>No data</v>
      </c>
      <c r="G10" s="70" t="str">
        <f>INDEX(Q4_Adult,5,8)</f>
        <v>No data</v>
      </c>
      <c r="H10" s="210" t="str">
        <f>INDEX(Q4_Adult,5,9)</f>
        <v>No data</v>
      </c>
      <c r="I10" s="200">
        <f>IFERROR(H10/P10,0)</f>
        <v>0</v>
      </c>
      <c r="J10" s="201" t="str">
        <f>INDEX(Q4_Adult,5,10)</f>
        <v>No data</v>
      </c>
      <c r="K10" s="200">
        <f>IFERROR(J10/P10,0)</f>
        <v>0</v>
      </c>
      <c r="L10" s="201" t="str">
        <f>INDEX(Q4_Adult,5,11)</f>
        <v>No data</v>
      </c>
      <c r="M10" s="200">
        <f>IFERROR(L10/P10,0)</f>
        <v>0</v>
      </c>
      <c r="N10" s="201" t="str">
        <f>INDEX(Q4_Adult,5,12)</f>
        <v>No data</v>
      </c>
      <c r="O10" s="200">
        <f>IFERROR(N10/P10,0)</f>
        <v>0</v>
      </c>
      <c r="P10" s="202" t="str">
        <f>INDEX(Q4_Adult,5,13)</f>
        <v>No data</v>
      </c>
      <c r="Q10" s="199" t="str">
        <f>INDEX(Q4_Adult,5,15)</f>
        <v>No data</v>
      </c>
      <c r="R10" s="200">
        <f>IFERROR(Q10/Y10,0)</f>
        <v>0</v>
      </c>
      <c r="S10" s="201" t="str">
        <f>INDEX(Q4_Adult,5,16)</f>
        <v>No data</v>
      </c>
      <c r="T10" s="200">
        <f>IFERROR(S10/Y10,0)</f>
        <v>0</v>
      </c>
      <c r="U10" s="203" t="str">
        <f>INDEX(Q4_Adult,5,17)</f>
        <v>No data</v>
      </c>
      <c r="V10" s="200">
        <f>IFERROR(U10/Y10,0)</f>
        <v>0</v>
      </c>
      <c r="W10" s="201" t="str">
        <f>INDEX(Q4_Adult,5,18)</f>
        <v>No data</v>
      </c>
      <c r="X10" s="200">
        <f>IFERROR(W10/Y10,0)</f>
        <v>0</v>
      </c>
      <c r="Y10" s="113" t="str">
        <f>INDEX(Q4_Adult,5,19)</f>
        <v>No data</v>
      </c>
      <c r="Z10" s="66" t="str">
        <f>INDEX(Q4_Adult,5,21)</f>
        <v>No data</v>
      </c>
      <c r="AA10" s="67" t="str">
        <f>INDEX(Q4_Adult,5,22)</f>
        <v>No data</v>
      </c>
    </row>
    <row r="11" spans="1:28" s="8" customFormat="1" ht="21.75" customHeight="1" thickTop="1" thickBot="1" x14ac:dyDescent="0.35">
      <c r="B11" s="26" t="str">
        <f>INDEX(Q4_Adult,7,2)</f>
        <v>Cwm Taf Morgannwg UHB, Princess of Wales Hospital</v>
      </c>
      <c r="C11" s="26" t="s">
        <v>20</v>
      </c>
      <c r="D11" s="57">
        <v>3</v>
      </c>
      <c r="E11" s="26" t="s">
        <v>22</v>
      </c>
      <c r="F11" s="65" t="str">
        <f>INDEX(Q4_Adult,7,7)</f>
        <v>No data</v>
      </c>
      <c r="G11" s="71" t="str">
        <f>INDEX(Q4_Adult,7,8)</f>
        <v>No data</v>
      </c>
      <c r="H11" s="204" t="str">
        <f>INDEX(Q4_Adult,7,9)</f>
        <v>No data</v>
      </c>
      <c r="I11" s="205">
        <f t="shared" ref="I11:I24" si="0">IFERROR(H11/P11,0)</f>
        <v>0</v>
      </c>
      <c r="J11" s="206" t="str">
        <f>INDEX(Q4_Adult,7,10)</f>
        <v>No data</v>
      </c>
      <c r="K11" s="205">
        <f t="shared" ref="K11:K24" si="1">IFERROR(J11/P11,0)</f>
        <v>0</v>
      </c>
      <c r="L11" s="206" t="str">
        <f>INDEX(Q4_Adult,7,11)</f>
        <v>No data</v>
      </c>
      <c r="M11" s="205">
        <f t="shared" ref="M11:M24" si="2">IFERROR(L11/P11,0)</f>
        <v>0</v>
      </c>
      <c r="N11" s="206" t="str">
        <f>INDEX(Q4_Adult,7,12)</f>
        <v>No data</v>
      </c>
      <c r="O11" s="205">
        <f t="shared" ref="O11:O24" si="3">IFERROR(N11/P11,0)</f>
        <v>0</v>
      </c>
      <c r="P11" s="207" t="str">
        <f>INDEX(Q4_Adult,7,13)</f>
        <v>No data</v>
      </c>
      <c r="Q11" s="208" t="str">
        <f>INDEX(Q4_Adult,7,15)</f>
        <v>No data</v>
      </c>
      <c r="R11" s="205">
        <f t="shared" ref="R11:R24" si="4">IFERROR(Q11/Y11,0)</f>
        <v>0</v>
      </c>
      <c r="S11" s="206" t="str">
        <f>INDEX(Q4_Adult,7,16)</f>
        <v>No data</v>
      </c>
      <c r="T11" s="205">
        <f t="shared" ref="T11:T24" si="5">IFERROR(S11/Y11,0)</f>
        <v>0</v>
      </c>
      <c r="U11" s="209" t="str">
        <f>INDEX(Q4_Adult,7,17)</f>
        <v>No data</v>
      </c>
      <c r="V11" s="205">
        <f t="shared" ref="V11:V24" si="6">IFERROR(U11/Y11,0)</f>
        <v>0</v>
      </c>
      <c r="W11" s="206" t="str">
        <f>INDEX(Q4_Adult,7,18)</f>
        <v>No data</v>
      </c>
      <c r="X11" s="205">
        <f t="shared" ref="X11:X24" si="7">IFERROR(W11/Y11,0)</f>
        <v>0</v>
      </c>
      <c r="Y11" s="114" t="str">
        <f>INDEX(Q4_Adult,7,19)</f>
        <v>No data</v>
      </c>
      <c r="Z11" s="68" t="str">
        <f>INDEX(Q4_Adult,7,21)</f>
        <v>No data</v>
      </c>
      <c r="AA11" s="69" t="str">
        <f>INDEX(Q4_Adult,7,22)</f>
        <v>No data</v>
      </c>
    </row>
    <row r="12" spans="1:28" s="8" customFormat="1" ht="21.75" customHeight="1" thickTop="1" thickBot="1" x14ac:dyDescent="0.35">
      <c r="B12" s="25" t="str">
        <f>INDEX(Q4_Adult,8,2)</f>
        <v xml:space="preserve">Cwm Taf Morgannwg UHB, Royal Glamorgan Hospital </v>
      </c>
      <c r="C12" s="25" t="s">
        <v>20</v>
      </c>
      <c r="D12" s="56">
        <v>3</v>
      </c>
      <c r="E12" s="25" t="s">
        <v>22</v>
      </c>
      <c r="F12" s="64" t="str">
        <f>INDEX(Q4_Adult,8,7)</f>
        <v>No data</v>
      </c>
      <c r="G12" s="70" t="str">
        <f>INDEX(Q4_Adult,8,8)</f>
        <v>No data</v>
      </c>
      <c r="H12" s="210" t="str">
        <f>INDEX(Q4_Adult,8,9)</f>
        <v>No data</v>
      </c>
      <c r="I12" s="200">
        <f t="shared" si="0"/>
        <v>0</v>
      </c>
      <c r="J12" s="201" t="str">
        <f>INDEX(Q4_Adult,8,10)</f>
        <v>No data</v>
      </c>
      <c r="K12" s="200">
        <f t="shared" si="1"/>
        <v>0</v>
      </c>
      <c r="L12" s="201" t="str">
        <f>INDEX(Q4_Adult,8,11)</f>
        <v>No data</v>
      </c>
      <c r="M12" s="200">
        <f t="shared" si="2"/>
        <v>0</v>
      </c>
      <c r="N12" s="201" t="str">
        <f>INDEX(Q4_Adult,8,12)</f>
        <v>No data</v>
      </c>
      <c r="O12" s="200">
        <f t="shared" si="3"/>
        <v>0</v>
      </c>
      <c r="P12" s="202" t="str">
        <f>INDEX(Q4_Adult,8,13)</f>
        <v>No data</v>
      </c>
      <c r="Q12" s="199" t="str">
        <f>INDEX(Q4_Adult,8,15)</f>
        <v>No data</v>
      </c>
      <c r="R12" s="200">
        <f t="shared" si="4"/>
        <v>0</v>
      </c>
      <c r="S12" s="201" t="str">
        <f>INDEX(Q4_Adult,8,16)</f>
        <v>No data</v>
      </c>
      <c r="T12" s="200">
        <f t="shared" si="5"/>
        <v>0</v>
      </c>
      <c r="U12" s="203" t="str">
        <f>INDEX(Q4_Adult,8,17)</f>
        <v>No data</v>
      </c>
      <c r="V12" s="200">
        <f t="shared" si="6"/>
        <v>0</v>
      </c>
      <c r="W12" s="201" t="str">
        <f>INDEX(Q4_Adult,8,18)</f>
        <v>No data</v>
      </c>
      <c r="X12" s="200">
        <f t="shared" si="7"/>
        <v>0</v>
      </c>
      <c r="Y12" s="113" t="str">
        <f>INDEX(Q4_Adult,8,19)</f>
        <v>No data</v>
      </c>
      <c r="Z12" s="66" t="str">
        <f>INDEX(Q4_Adult,8,21)</f>
        <v>No data</v>
      </c>
      <c r="AA12" s="67" t="str">
        <f>INDEX(Q4_Adult,8,22)</f>
        <v>No data</v>
      </c>
    </row>
    <row r="13" spans="1:28" s="8" customFormat="1" ht="21.75" customHeight="1" thickTop="1" thickBot="1" x14ac:dyDescent="0.35">
      <c r="B13" s="26" t="str">
        <f>INDEX(Q4_Adult,9,2)</f>
        <v>Cwm Taf Morgannwg UHB, Prince Charles Hospital</v>
      </c>
      <c r="C13" s="26" t="s">
        <v>20</v>
      </c>
      <c r="D13" s="57">
        <v>3</v>
      </c>
      <c r="E13" s="26" t="s">
        <v>22</v>
      </c>
      <c r="F13" s="65" t="str">
        <f>INDEX(Q4_Adult,9,7)</f>
        <v>No data</v>
      </c>
      <c r="G13" s="71" t="str">
        <f>INDEX(Q4_Adult,9,8)</f>
        <v>No data</v>
      </c>
      <c r="H13" s="204" t="str">
        <f>INDEX(Q4_Adult,9,9)</f>
        <v>No data</v>
      </c>
      <c r="I13" s="205">
        <f t="shared" si="0"/>
        <v>0</v>
      </c>
      <c r="J13" s="206" t="str">
        <f>INDEX(Q4_Adult,9,10)</f>
        <v>No data</v>
      </c>
      <c r="K13" s="205">
        <f t="shared" si="1"/>
        <v>0</v>
      </c>
      <c r="L13" s="206" t="str">
        <f>INDEX(Q4_Adult,9,11)</f>
        <v>No data</v>
      </c>
      <c r="M13" s="205">
        <f t="shared" si="2"/>
        <v>0</v>
      </c>
      <c r="N13" s="206" t="str">
        <f>INDEX(Q4_Adult,9,12)</f>
        <v>No data</v>
      </c>
      <c r="O13" s="205">
        <f t="shared" si="3"/>
        <v>0</v>
      </c>
      <c r="P13" s="207" t="str">
        <f>INDEX(Q4_Adult,9,13)</f>
        <v>No data</v>
      </c>
      <c r="Q13" s="208" t="str">
        <f>INDEX(Q4_Adult,9,15)</f>
        <v>No data</v>
      </c>
      <c r="R13" s="205">
        <f t="shared" si="4"/>
        <v>0</v>
      </c>
      <c r="S13" s="206" t="str">
        <f>INDEX(Q4_Adult,9,16)</f>
        <v>No data</v>
      </c>
      <c r="T13" s="205">
        <f t="shared" si="5"/>
        <v>0</v>
      </c>
      <c r="U13" s="209" t="str">
        <f>INDEX(Q4_Adult,9,17)</f>
        <v>No data</v>
      </c>
      <c r="V13" s="205">
        <f t="shared" si="6"/>
        <v>0</v>
      </c>
      <c r="W13" s="206" t="str">
        <f>INDEX(Q4_Adult,9,18)</f>
        <v>No data</v>
      </c>
      <c r="X13" s="205">
        <f t="shared" si="7"/>
        <v>0</v>
      </c>
      <c r="Y13" s="114" t="str">
        <f>INDEX(Q4_Adult,9,19)</f>
        <v>No data</v>
      </c>
      <c r="Z13" s="68" t="str">
        <f>INDEX(Q4_Adult,9,21)</f>
        <v>No data</v>
      </c>
      <c r="AA13" s="69" t="str">
        <f>INDEX(Q4_Adult,9,22)</f>
        <v>No data</v>
      </c>
    </row>
    <row r="14" spans="1:28" s="8" customFormat="1" ht="21.75" customHeight="1" thickTop="1" thickBot="1" x14ac:dyDescent="0.35">
      <c r="B14" s="25" t="str">
        <f>INDEX(Q4_Adult,10,2)</f>
        <v>Hywel Dda UHB, Glangwilli Hospital</v>
      </c>
      <c r="C14" s="25" t="s">
        <v>20</v>
      </c>
      <c r="D14" s="56">
        <v>3</v>
      </c>
      <c r="E14" s="25" t="s">
        <v>22</v>
      </c>
      <c r="F14" s="64" t="str">
        <f>INDEX(Q4_Adult,10,7)</f>
        <v>No data</v>
      </c>
      <c r="G14" s="70" t="str">
        <f>INDEX(Q4_Adult,10,8)</f>
        <v>No data</v>
      </c>
      <c r="H14" s="210" t="str">
        <f>INDEX(Q4_Adult,10,9)</f>
        <v>No data</v>
      </c>
      <c r="I14" s="200">
        <f t="shared" si="0"/>
        <v>0</v>
      </c>
      <c r="J14" s="201" t="str">
        <f>INDEX(Q4_Adult,10,10)</f>
        <v>No data</v>
      </c>
      <c r="K14" s="200">
        <f t="shared" si="1"/>
        <v>0</v>
      </c>
      <c r="L14" s="201" t="str">
        <f>INDEX(Q4_Adult,10,11)</f>
        <v>No data</v>
      </c>
      <c r="M14" s="200">
        <f t="shared" si="2"/>
        <v>0</v>
      </c>
      <c r="N14" s="201" t="str">
        <f>INDEX(Q4_Adult,10,12)</f>
        <v>No data</v>
      </c>
      <c r="O14" s="200">
        <f t="shared" si="3"/>
        <v>0</v>
      </c>
      <c r="P14" s="202" t="str">
        <f>INDEX(Q4_Adult,10,13)</f>
        <v>No data</v>
      </c>
      <c r="Q14" s="199" t="str">
        <f>INDEX(Q4_Adult,10,15)</f>
        <v>No data</v>
      </c>
      <c r="R14" s="200">
        <f t="shared" si="4"/>
        <v>0</v>
      </c>
      <c r="S14" s="201" t="str">
        <f>INDEX(Q4_Adult,10,16)</f>
        <v>No data</v>
      </c>
      <c r="T14" s="200">
        <f t="shared" si="5"/>
        <v>0</v>
      </c>
      <c r="U14" s="203" t="str">
        <f>INDEX(Q4_Adult,10,17)</f>
        <v>No data</v>
      </c>
      <c r="V14" s="200">
        <f t="shared" si="6"/>
        <v>0</v>
      </c>
      <c r="W14" s="201" t="str">
        <f>INDEX(Q4_Adult,10,18)</f>
        <v>No data</v>
      </c>
      <c r="X14" s="200">
        <f t="shared" si="7"/>
        <v>0</v>
      </c>
      <c r="Y14" s="113" t="str">
        <f>INDEX(Q4_Adult,10,19)</f>
        <v>No data</v>
      </c>
      <c r="Z14" s="66" t="str">
        <f>INDEX(Q4_Adult,10,21)</f>
        <v>No data</v>
      </c>
      <c r="AA14" s="67" t="str">
        <f>INDEX(Q4_Adult,10,22)</f>
        <v>No data</v>
      </c>
    </row>
    <row r="15" spans="1:28" s="8" customFormat="1" ht="21.75" customHeight="1" thickTop="1" thickBot="1" x14ac:dyDescent="0.35">
      <c r="B15" s="26" t="str">
        <f>INDEX(Q4_Adult,11,2)</f>
        <v>Hywel Dda UHB, Withybush Hospital</v>
      </c>
      <c r="C15" s="26" t="s">
        <v>20</v>
      </c>
      <c r="D15" s="57">
        <v>3</v>
      </c>
      <c r="E15" s="26" t="s">
        <v>22</v>
      </c>
      <c r="F15" s="65" t="str">
        <f>INDEX(Q4_Adult,11,7)</f>
        <v>No data</v>
      </c>
      <c r="G15" s="71" t="str">
        <f>INDEX(Q4_Adult,11,8)</f>
        <v>No data</v>
      </c>
      <c r="H15" s="204" t="str">
        <f>INDEX(Q4_Adult,11,9)</f>
        <v>No data</v>
      </c>
      <c r="I15" s="205">
        <f t="shared" si="0"/>
        <v>0</v>
      </c>
      <c r="J15" s="206" t="str">
        <f>INDEX(Q4_Adult,11,10)</f>
        <v>No data</v>
      </c>
      <c r="K15" s="205">
        <f t="shared" si="1"/>
        <v>0</v>
      </c>
      <c r="L15" s="206" t="str">
        <f>INDEX(Q4_Adult,11,11)</f>
        <v>No data</v>
      </c>
      <c r="M15" s="205">
        <f t="shared" si="2"/>
        <v>0</v>
      </c>
      <c r="N15" s="206" t="str">
        <f>INDEX(Q4_Adult,11,12)</f>
        <v>No data</v>
      </c>
      <c r="O15" s="205">
        <f t="shared" si="3"/>
        <v>0</v>
      </c>
      <c r="P15" s="207" t="str">
        <f>INDEX(Q4_Adult,11,13)</f>
        <v>No data</v>
      </c>
      <c r="Q15" s="208" t="str">
        <f>INDEX(Q4_Adult,11,15)</f>
        <v>No data</v>
      </c>
      <c r="R15" s="205">
        <f t="shared" si="4"/>
        <v>0</v>
      </c>
      <c r="S15" s="206" t="str">
        <f>INDEX(Q4_Adult,11,16)</f>
        <v>No data</v>
      </c>
      <c r="T15" s="205">
        <f t="shared" si="5"/>
        <v>0</v>
      </c>
      <c r="U15" s="209" t="str">
        <f>INDEX(Q4_Adult,11,17)</f>
        <v>No data</v>
      </c>
      <c r="V15" s="205">
        <f t="shared" si="6"/>
        <v>0</v>
      </c>
      <c r="W15" s="206" t="str">
        <f>INDEX(Q4_Adult,11,18)</f>
        <v>No data</v>
      </c>
      <c r="X15" s="205">
        <f t="shared" si="7"/>
        <v>0</v>
      </c>
      <c r="Y15" s="114" t="str">
        <f>INDEX(Q4_Adult,11,19)</f>
        <v>No data</v>
      </c>
      <c r="Z15" s="68" t="str">
        <f>INDEX(Q4_Adult,11,21)</f>
        <v>No data</v>
      </c>
      <c r="AA15" s="69" t="str">
        <f>INDEX(Q4_Adult,11,22)</f>
        <v>No data</v>
      </c>
    </row>
    <row r="16" spans="1:28" s="8" customFormat="1" ht="21.75" customHeight="1" thickTop="1" thickBot="1" x14ac:dyDescent="0.35">
      <c r="B16" s="25" t="str">
        <f>INDEX(Q4_Adult,12,2)</f>
        <v>Swansea Bay UHB, Morriston / Singleton Hospitals</v>
      </c>
      <c r="C16" s="25" t="s">
        <v>20</v>
      </c>
      <c r="D16" s="56">
        <v>3</v>
      </c>
      <c r="E16" s="25" t="s">
        <v>22</v>
      </c>
      <c r="F16" s="64" t="str">
        <f>INDEX(Q4_Adult,12,7)</f>
        <v>No data</v>
      </c>
      <c r="G16" s="70" t="str">
        <f>INDEX(Q4_Adult,12,8)</f>
        <v>No data</v>
      </c>
      <c r="H16" s="210" t="str">
        <f>INDEX(Q4_Adult,12,9)</f>
        <v>No data</v>
      </c>
      <c r="I16" s="200">
        <f t="shared" si="0"/>
        <v>0</v>
      </c>
      <c r="J16" s="201" t="str">
        <f>INDEX(Q4_Adult,12,10)</f>
        <v>No data</v>
      </c>
      <c r="K16" s="200">
        <f t="shared" si="1"/>
        <v>0</v>
      </c>
      <c r="L16" s="201" t="str">
        <f>INDEX(Q4_Adult,12,11)</f>
        <v>No data</v>
      </c>
      <c r="M16" s="200">
        <f t="shared" si="2"/>
        <v>0</v>
      </c>
      <c r="N16" s="201" t="str">
        <f>INDEX(Q4_Adult,12,12)</f>
        <v>No data</v>
      </c>
      <c r="O16" s="200">
        <f t="shared" si="3"/>
        <v>0</v>
      </c>
      <c r="P16" s="202" t="str">
        <f>INDEX(Q4_Adult,12,13)</f>
        <v>No data</v>
      </c>
      <c r="Q16" s="199" t="str">
        <f>INDEX(Q4_Adult,12,15)</f>
        <v>No data</v>
      </c>
      <c r="R16" s="200">
        <f t="shared" si="4"/>
        <v>0</v>
      </c>
      <c r="S16" s="201" t="str">
        <f>INDEX(Q4_Adult,12,16)</f>
        <v>No data</v>
      </c>
      <c r="T16" s="200">
        <f t="shared" si="5"/>
        <v>0</v>
      </c>
      <c r="U16" s="203" t="str">
        <f>INDEX(Q4_Adult,12,17)</f>
        <v>No data</v>
      </c>
      <c r="V16" s="200">
        <f t="shared" si="6"/>
        <v>0</v>
      </c>
      <c r="W16" s="201" t="str">
        <f>INDEX(Q4_Adult,12,18)</f>
        <v>No data</v>
      </c>
      <c r="X16" s="200">
        <f t="shared" si="7"/>
        <v>0</v>
      </c>
      <c r="Y16" s="113" t="str">
        <f>INDEX(Q4_Adult,12,19)</f>
        <v>No data</v>
      </c>
      <c r="Z16" s="66" t="str">
        <f>INDEX(Q4_Adult,12,21)</f>
        <v>No data</v>
      </c>
      <c r="AA16" s="67" t="str">
        <f>INDEX(Q4_Adult,12,22)</f>
        <v>No data</v>
      </c>
    </row>
    <row r="17" spans="2:27" s="8" customFormat="1" ht="21.75" customHeight="1" thickTop="1" thickBot="1" x14ac:dyDescent="0.35">
      <c r="B17" s="26" t="str">
        <f>INDEX(Q4_Adult,13,2)</f>
        <v xml:space="preserve">Barnstaple, North Devon District Hospital </v>
      </c>
      <c r="C17" s="26" t="s">
        <v>20</v>
      </c>
      <c r="D17" s="57">
        <v>3</v>
      </c>
      <c r="E17" s="26" t="s">
        <v>21</v>
      </c>
      <c r="F17" s="65" t="str">
        <f>INDEX(Q4_Adult,13,7)</f>
        <v>No data</v>
      </c>
      <c r="G17" s="71" t="str">
        <f>INDEX(Q4_Adult,13,8)</f>
        <v>No data</v>
      </c>
      <c r="H17" s="204" t="str">
        <f>INDEX(Q4_Adult,13,9)</f>
        <v>No data</v>
      </c>
      <c r="I17" s="205">
        <f t="shared" si="0"/>
        <v>0</v>
      </c>
      <c r="J17" s="206" t="str">
        <f>INDEX(Q4_Adult,13,10)</f>
        <v>No data</v>
      </c>
      <c r="K17" s="205">
        <f t="shared" si="1"/>
        <v>0</v>
      </c>
      <c r="L17" s="206" t="str">
        <f>INDEX(Q4_Adult,13,11)</f>
        <v>No data</v>
      </c>
      <c r="M17" s="205">
        <f t="shared" si="2"/>
        <v>0</v>
      </c>
      <c r="N17" s="206" t="str">
        <f>INDEX(Q4_Adult,13,12)</f>
        <v>No data</v>
      </c>
      <c r="O17" s="205">
        <f t="shared" si="3"/>
        <v>0</v>
      </c>
      <c r="P17" s="207" t="str">
        <f>INDEX(Q4_Adult,13,13)</f>
        <v>No data</v>
      </c>
      <c r="Q17" s="208" t="str">
        <f>INDEX(Q4_Adult,13,15)</f>
        <v>No data</v>
      </c>
      <c r="R17" s="205">
        <f t="shared" si="4"/>
        <v>0</v>
      </c>
      <c r="S17" s="206" t="str">
        <f>INDEX(Q4_Adult,13,16)</f>
        <v>No data</v>
      </c>
      <c r="T17" s="205">
        <f t="shared" si="5"/>
        <v>0</v>
      </c>
      <c r="U17" s="209" t="str">
        <f>INDEX(Q4_Adult,13,17)</f>
        <v>No data</v>
      </c>
      <c r="V17" s="205">
        <f t="shared" si="6"/>
        <v>0</v>
      </c>
      <c r="W17" s="206" t="str">
        <f>INDEX(Q4_Adult,13,18)</f>
        <v>No data</v>
      </c>
      <c r="X17" s="205">
        <f t="shared" si="7"/>
        <v>0</v>
      </c>
      <c r="Y17" s="114" t="str">
        <f>INDEX(Q4_Adult,13,19)</f>
        <v>No data</v>
      </c>
      <c r="Z17" s="68" t="str">
        <f>INDEX(Q4_Adult,13,21)</f>
        <v>No data</v>
      </c>
      <c r="AA17" s="69" t="str">
        <f>INDEX(Q4_Adult,13,22)</f>
        <v>No data</v>
      </c>
    </row>
    <row r="18" spans="2:27" s="8" customFormat="1" ht="21.75" customHeight="1" thickTop="1" thickBot="1" x14ac:dyDescent="0.35">
      <c r="B18" s="25" t="str">
        <f>INDEX(Q4_Adult,15,2)</f>
        <v xml:space="preserve">Exeter, Royal Devon and Exeter Hospital </v>
      </c>
      <c r="C18" s="25" t="s">
        <v>20</v>
      </c>
      <c r="D18" s="56">
        <v>3</v>
      </c>
      <c r="E18" s="25" t="s">
        <v>21</v>
      </c>
      <c r="F18" s="64" t="str">
        <f>INDEX(Q4_Adult,15,7)</f>
        <v>No data</v>
      </c>
      <c r="G18" s="70" t="str">
        <f>INDEX(Q4_Adult,15,8)</f>
        <v>No data</v>
      </c>
      <c r="H18" s="210" t="str">
        <f>INDEX(Q4_Adult,15,9)</f>
        <v>No data</v>
      </c>
      <c r="I18" s="200">
        <f t="shared" si="0"/>
        <v>0</v>
      </c>
      <c r="J18" s="201" t="str">
        <f>INDEX(Q4_Adult,15,10)</f>
        <v>No data</v>
      </c>
      <c r="K18" s="200">
        <f t="shared" si="1"/>
        <v>0</v>
      </c>
      <c r="L18" s="201" t="str">
        <f>INDEX(Q4_Adult,15,11)</f>
        <v>No data</v>
      </c>
      <c r="M18" s="200">
        <f t="shared" si="2"/>
        <v>0</v>
      </c>
      <c r="N18" s="201" t="str">
        <f>INDEX(Q4_Adult,15,12)</f>
        <v>No data</v>
      </c>
      <c r="O18" s="200">
        <f t="shared" si="3"/>
        <v>0</v>
      </c>
      <c r="P18" s="202" t="str">
        <f>INDEX(Q4_Adult,15,13)</f>
        <v>No data</v>
      </c>
      <c r="Q18" s="199" t="str">
        <f>INDEX(Q4_Adult,15,15)</f>
        <v>No data</v>
      </c>
      <c r="R18" s="200">
        <f t="shared" si="4"/>
        <v>0</v>
      </c>
      <c r="S18" s="201" t="str">
        <f>INDEX(Q4_Adult,15,16)</f>
        <v>No data</v>
      </c>
      <c r="T18" s="200">
        <f t="shared" si="5"/>
        <v>0</v>
      </c>
      <c r="U18" s="203" t="str">
        <f>INDEX(Q4_Adult,15,17)</f>
        <v>No data</v>
      </c>
      <c r="V18" s="200">
        <f t="shared" si="6"/>
        <v>0</v>
      </c>
      <c r="W18" s="201" t="str">
        <f>INDEX(Q4_Adult,15,18)</f>
        <v>No data</v>
      </c>
      <c r="X18" s="200">
        <f t="shared" si="7"/>
        <v>0</v>
      </c>
      <c r="Y18" s="113" t="str">
        <f>INDEX(Q4_Adult,15,19)</f>
        <v>No data</v>
      </c>
      <c r="Z18" s="66" t="str">
        <f>INDEX(Q4_Adult,15,21)</f>
        <v>No data</v>
      </c>
      <c r="AA18" s="67" t="str">
        <f>INDEX(Q4_Adult,15,22)</f>
        <v>No data</v>
      </c>
    </row>
    <row r="19" spans="2:27" s="8" customFormat="1" ht="21.75" customHeight="1" thickTop="1" thickBot="1" x14ac:dyDescent="0.35">
      <c r="B19" s="26" t="str">
        <f>INDEX(Q4_Adult,16,2)</f>
        <v>Gloucester, Gloucestershire Hospitals</v>
      </c>
      <c r="C19" s="26" t="s">
        <v>20</v>
      </c>
      <c r="D19" s="57">
        <v>3</v>
      </c>
      <c r="E19" s="26" t="s">
        <v>21</v>
      </c>
      <c r="F19" s="65" t="str">
        <f>INDEX(Q4_Adult,16,7)</f>
        <v>No data</v>
      </c>
      <c r="G19" s="71" t="str">
        <f>INDEX(Q4_Adult,16,8)</f>
        <v>No data</v>
      </c>
      <c r="H19" s="204" t="str">
        <f>INDEX(Q4_Adult,16,9)</f>
        <v>No data</v>
      </c>
      <c r="I19" s="205">
        <f t="shared" si="0"/>
        <v>0</v>
      </c>
      <c r="J19" s="206" t="str">
        <f>INDEX(Q4_Adult,16,10)</f>
        <v>No data</v>
      </c>
      <c r="K19" s="205">
        <f t="shared" si="1"/>
        <v>0</v>
      </c>
      <c r="L19" s="206" t="str">
        <f>INDEX(Q4_Adult,16,11)</f>
        <v>No data</v>
      </c>
      <c r="M19" s="205">
        <f t="shared" si="2"/>
        <v>0</v>
      </c>
      <c r="N19" s="206" t="str">
        <f>INDEX(Q4_Adult,16,12)</f>
        <v>No data</v>
      </c>
      <c r="O19" s="205">
        <f t="shared" si="3"/>
        <v>0</v>
      </c>
      <c r="P19" s="207" t="str">
        <f>INDEX(Q4_Adult,16,13)</f>
        <v>No data</v>
      </c>
      <c r="Q19" s="208" t="str">
        <f>INDEX(Q4_Adult,16,15)</f>
        <v>No data</v>
      </c>
      <c r="R19" s="205">
        <f t="shared" si="4"/>
        <v>0</v>
      </c>
      <c r="S19" s="206" t="str">
        <f>INDEX(Q4_Adult,16,16)</f>
        <v>No data</v>
      </c>
      <c r="T19" s="205">
        <f t="shared" si="5"/>
        <v>0</v>
      </c>
      <c r="U19" s="209" t="str">
        <f>INDEX(Q4_Adult,16,17)</f>
        <v>No data</v>
      </c>
      <c r="V19" s="205">
        <f t="shared" si="6"/>
        <v>0</v>
      </c>
      <c r="W19" s="206" t="str">
        <f>INDEX(Q4_Adult,16,18)</f>
        <v>No data</v>
      </c>
      <c r="X19" s="205">
        <f t="shared" si="7"/>
        <v>0</v>
      </c>
      <c r="Y19" s="114" t="str">
        <f>INDEX(Q4_Adult,16,19)</f>
        <v>No data</v>
      </c>
      <c r="Z19" s="68" t="str">
        <f>INDEX(Q4_Adult,16,21)</f>
        <v>No data</v>
      </c>
      <c r="AA19" s="69" t="str">
        <f>INDEX(Q4_Adult,16,22)</f>
        <v>No data</v>
      </c>
    </row>
    <row r="20" spans="2:27" s="8" customFormat="1" ht="21.75" customHeight="1" thickTop="1" thickBot="1" x14ac:dyDescent="0.35">
      <c r="B20" s="25" t="str">
        <f>INDEX(Q4_Adult,17,2)</f>
        <v xml:space="preserve">Plymouth, Derriford Hospital </v>
      </c>
      <c r="C20" s="25" t="s">
        <v>20</v>
      </c>
      <c r="D20" s="56">
        <v>3</v>
      </c>
      <c r="E20" s="25" t="s">
        <v>21</v>
      </c>
      <c r="F20" s="64" t="str">
        <f>INDEX(Q4_Adult,17,7)</f>
        <v>No data</v>
      </c>
      <c r="G20" s="70" t="str">
        <f>INDEX(Q4_Adult,17,8)</f>
        <v>No data</v>
      </c>
      <c r="H20" s="210" t="str">
        <f>INDEX(Q4_Adult,17,9)</f>
        <v>No data</v>
      </c>
      <c r="I20" s="200">
        <f t="shared" si="0"/>
        <v>0</v>
      </c>
      <c r="J20" s="201" t="str">
        <f>INDEX(Q4_Adult,17,10)</f>
        <v>No data</v>
      </c>
      <c r="K20" s="200">
        <f t="shared" si="1"/>
        <v>0</v>
      </c>
      <c r="L20" s="201" t="str">
        <f>INDEX(Q4_Adult,17,11)</f>
        <v>No data</v>
      </c>
      <c r="M20" s="200">
        <f t="shared" si="2"/>
        <v>0</v>
      </c>
      <c r="N20" s="201" t="str">
        <f>INDEX(Q4_Adult,17,12)</f>
        <v>No data</v>
      </c>
      <c r="O20" s="200">
        <f t="shared" si="3"/>
        <v>0</v>
      </c>
      <c r="P20" s="202" t="str">
        <f>INDEX(Q4_Adult,17,13)</f>
        <v>No data</v>
      </c>
      <c r="Q20" s="199" t="str">
        <f>INDEX(Q4_Adult,17,15)</f>
        <v>No data</v>
      </c>
      <c r="R20" s="200">
        <f t="shared" si="4"/>
        <v>0</v>
      </c>
      <c r="S20" s="201" t="str">
        <f>INDEX(Q4_Adult,17,16)</f>
        <v>No data</v>
      </c>
      <c r="T20" s="200">
        <f t="shared" si="5"/>
        <v>0</v>
      </c>
      <c r="U20" s="203" t="str">
        <f>INDEX(Q4_Adult,17,17)</f>
        <v>No data</v>
      </c>
      <c r="V20" s="200">
        <f t="shared" si="6"/>
        <v>0</v>
      </c>
      <c r="W20" s="201" t="str">
        <f>INDEX(Q4_Adult,17,18)</f>
        <v>No data</v>
      </c>
      <c r="X20" s="200">
        <f t="shared" si="7"/>
        <v>0</v>
      </c>
      <c r="Y20" s="113" t="str">
        <f>INDEX(Q4_Adult,17,19)</f>
        <v>No data</v>
      </c>
      <c r="Z20" s="66" t="str">
        <f>INDEX(Q4_Adult,17,21)</f>
        <v>No data</v>
      </c>
      <c r="AA20" s="67" t="str">
        <f>INDEX(Q4_Adult,17,22)</f>
        <v>No data</v>
      </c>
    </row>
    <row r="21" spans="2:27" s="8" customFormat="1" ht="21.75" customHeight="1" thickTop="1" thickBot="1" x14ac:dyDescent="0.35">
      <c r="B21" s="26" t="str">
        <f>INDEX(Q4_Adult,18,2)</f>
        <v xml:space="preserve">Swindon, Great Weston Hospital </v>
      </c>
      <c r="C21" s="26" t="s">
        <v>20</v>
      </c>
      <c r="D21" s="57">
        <v>3</v>
      </c>
      <c r="E21" s="26" t="s">
        <v>21</v>
      </c>
      <c r="F21" s="65" t="str">
        <f>INDEX(Q4_Adult,18,7)</f>
        <v>No data</v>
      </c>
      <c r="G21" s="71" t="str">
        <f>INDEX(Q4_Adult,18,8)</f>
        <v>No data</v>
      </c>
      <c r="H21" s="204" t="str">
        <f>INDEX(Q4_Adult,18,9)</f>
        <v>No data</v>
      </c>
      <c r="I21" s="205">
        <f t="shared" si="0"/>
        <v>0</v>
      </c>
      <c r="J21" s="206" t="str">
        <f>INDEX(Q4_Adult,18,10)</f>
        <v>No data</v>
      </c>
      <c r="K21" s="205">
        <f t="shared" si="1"/>
        <v>0</v>
      </c>
      <c r="L21" s="206" t="str">
        <f>INDEX(Q4_Adult,18,11)</f>
        <v>No data</v>
      </c>
      <c r="M21" s="205">
        <f t="shared" si="2"/>
        <v>0</v>
      </c>
      <c r="N21" s="206" t="str">
        <f>INDEX(Q4_Adult,18,12)</f>
        <v>No data</v>
      </c>
      <c r="O21" s="205">
        <f t="shared" si="3"/>
        <v>0</v>
      </c>
      <c r="P21" s="207" t="str">
        <f>INDEX(Q4_Adult,18,13)</f>
        <v>No data</v>
      </c>
      <c r="Q21" s="208" t="str">
        <f>INDEX(Q4_Adult,18,15)</f>
        <v>No data</v>
      </c>
      <c r="R21" s="205">
        <f t="shared" si="4"/>
        <v>0</v>
      </c>
      <c r="S21" s="206" t="str">
        <f>INDEX(Q4_Adult,18,16)</f>
        <v>No data</v>
      </c>
      <c r="T21" s="205">
        <f t="shared" si="5"/>
        <v>0</v>
      </c>
      <c r="U21" s="209" t="str">
        <f>INDEX(Q4_Adult,18,17)</f>
        <v>No data</v>
      </c>
      <c r="V21" s="205">
        <f t="shared" si="6"/>
        <v>0</v>
      </c>
      <c r="W21" s="206" t="str">
        <f>INDEX(Q4_Adult,18,18)</f>
        <v>No data</v>
      </c>
      <c r="X21" s="205">
        <f t="shared" si="7"/>
        <v>0</v>
      </c>
      <c r="Y21" s="114" t="str">
        <f>INDEX(Q4_Adult,18,19)</f>
        <v>No data</v>
      </c>
      <c r="Z21" s="68" t="str">
        <f>INDEX(Q4_Adult,18,21)</f>
        <v>No data</v>
      </c>
      <c r="AA21" s="69" t="str">
        <f>INDEX(Q4_Adult,18,22)</f>
        <v>No data</v>
      </c>
    </row>
    <row r="22" spans="2:27" s="8" customFormat="1" ht="21.75" customHeight="1" thickTop="1" thickBot="1" x14ac:dyDescent="0.35">
      <c r="B22" s="25" t="str">
        <f>INDEX(Q4_Adult,19,2)</f>
        <v xml:space="preserve">Taunton, Musgrove Park Hospital </v>
      </c>
      <c r="C22" s="25" t="s">
        <v>20</v>
      </c>
      <c r="D22" s="56">
        <v>3</v>
      </c>
      <c r="E22" s="25" t="s">
        <v>21</v>
      </c>
      <c r="F22" s="64" t="str">
        <f>INDEX(Q4_Adult,19,7)</f>
        <v>No data</v>
      </c>
      <c r="G22" s="70" t="str">
        <f>INDEX(Q4_Adult,19,8)</f>
        <v>No data</v>
      </c>
      <c r="H22" s="210" t="str">
        <f>INDEX(Q4_Adult,19,9)</f>
        <v>No data</v>
      </c>
      <c r="I22" s="200">
        <f t="shared" si="0"/>
        <v>0</v>
      </c>
      <c r="J22" s="201" t="str">
        <f>INDEX(Q4_Adult,19,10)</f>
        <v>No data</v>
      </c>
      <c r="K22" s="200">
        <f t="shared" si="1"/>
        <v>0</v>
      </c>
      <c r="L22" s="201" t="str">
        <f>INDEX(Q4_Adult,19,11)</f>
        <v>No data</v>
      </c>
      <c r="M22" s="200">
        <f t="shared" si="2"/>
        <v>0</v>
      </c>
      <c r="N22" s="201" t="str">
        <f>INDEX(Q4_Adult,19,12)</f>
        <v>No data</v>
      </c>
      <c r="O22" s="200">
        <f t="shared" si="3"/>
        <v>0</v>
      </c>
      <c r="P22" s="202" t="str">
        <f>INDEX(Q4_Adult,19,13)</f>
        <v>No data</v>
      </c>
      <c r="Q22" s="199" t="str">
        <f>INDEX(Q4_Adult,19,15)</f>
        <v>No data</v>
      </c>
      <c r="R22" s="200">
        <f t="shared" si="4"/>
        <v>0</v>
      </c>
      <c r="S22" s="201" t="str">
        <f>INDEX(Q4_Adult,19,16)</f>
        <v>No data</v>
      </c>
      <c r="T22" s="200">
        <f t="shared" si="5"/>
        <v>0</v>
      </c>
      <c r="U22" s="203" t="str">
        <f>INDEX(Q4_Adult,19,17)</f>
        <v>No data</v>
      </c>
      <c r="V22" s="200">
        <f t="shared" si="6"/>
        <v>0</v>
      </c>
      <c r="W22" s="201" t="str">
        <f>INDEX(Q4_Adult,19,18)</f>
        <v>No data</v>
      </c>
      <c r="X22" s="200">
        <f t="shared" si="7"/>
        <v>0</v>
      </c>
      <c r="Y22" s="113" t="str">
        <f>INDEX(Q4_Adult,19,19)</f>
        <v>No data</v>
      </c>
      <c r="Z22" s="66" t="str">
        <f>INDEX(Q4_Adult,19,21)</f>
        <v>No data</v>
      </c>
      <c r="AA22" s="67" t="str">
        <f>INDEX(Q4_Adult,19,22)</f>
        <v>No data</v>
      </c>
    </row>
    <row r="23" spans="2:27" s="8" customFormat="1" ht="21.75" customHeight="1" thickTop="1" thickBot="1" x14ac:dyDescent="0.35">
      <c r="B23" s="26" t="str">
        <f>INDEX(Q4_Adult,20,2)</f>
        <v xml:space="preserve">Torquay, Torbay General District Hospital </v>
      </c>
      <c r="C23" s="26" t="s">
        <v>20</v>
      </c>
      <c r="D23" s="57">
        <v>3</v>
      </c>
      <c r="E23" s="26" t="s">
        <v>21</v>
      </c>
      <c r="F23" s="65" t="str">
        <f>INDEX(Q4_Adult,20,7)</f>
        <v>No data</v>
      </c>
      <c r="G23" s="71" t="str">
        <f>INDEX(Q4_Adult,20,8)</f>
        <v>No data</v>
      </c>
      <c r="H23" s="204" t="str">
        <f>INDEX(Q4_Adult,20,9)</f>
        <v>No data</v>
      </c>
      <c r="I23" s="205">
        <f t="shared" si="0"/>
        <v>0</v>
      </c>
      <c r="J23" s="206" t="str">
        <f>INDEX(Q4_Adult,20,10)</f>
        <v>No data</v>
      </c>
      <c r="K23" s="205">
        <f t="shared" si="1"/>
        <v>0</v>
      </c>
      <c r="L23" s="206" t="str">
        <f>INDEX(Q4_Adult,20,11)</f>
        <v>No data</v>
      </c>
      <c r="M23" s="205">
        <f t="shared" si="2"/>
        <v>0</v>
      </c>
      <c r="N23" s="206" t="str">
        <f>INDEX(Q4_Adult,20,12)</f>
        <v>No data</v>
      </c>
      <c r="O23" s="205">
        <f t="shared" si="3"/>
        <v>0</v>
      </c>
      <c r="P23" s="207" t="str">
        <f>INDEX(Q4_Adult,20,13)</f>
        <v>No data</v>
      </c>
      <c r="Q23" s="208" t="str">
        <f>INDEX(Q4_Adult,20,15)</f>
        <v>No data</v>
      </c>
      <c r="R23" s="205">
        <f t="shared" si="4"/>
        <v>0</v>
      </c>
      <c r="S23" s="206" t="str">
        <f>INDEX(Q4_Adult,20,16)</f>
        <v>No data</v>
      </c>
      <c r="T23" s="205">
        <f t="shared" si="5"/>
        <v>0</v>
      </c>
      <c r="U23" s="209" t="str">
        <f>INDEX(Q4_Adult,20,17)</f>
        <v>No data</v>
      </c>
      <c r="V23" s="205">
        <f t="shared" si="6"/>
        <v>0</v>
      </c>
      <c r="W23" s="206" t="str">
        <f>INDEX(Q4_Adult,20,18)</f>
        <v>No data</v>
      </c>
      <c r="X23" s="205">
        <f t="shared" si="7"/>
        <v>0</v>
      </c>
      <c r="Y23" s="114" t="str">
        <f>INDEX(Q4_Adult,20,19)</f>
        <v>No data</v>
      </c>
      <c r="Z23" s="68" t="str">
        <f>INDEX(Q4_Adult,20,21)</f>
        <v>No data</v>
      </c>
      <c r="AA23" s="69" t="str">
        <f>INDEX(Q4_Adult,20,22)</f>
        <v>No data</v>
      </c>
    </row>
    <row r="24" spans="2:27" s="8" customFormat="1" ht="21.75" customHeight="1" thickTop="1" thickBot="1" x14ac:dyDescent="0.35">
      <c r="B24" s="25" t="str">
        <f>INDEX(Q4_Adult,21,2)</f>
        <v xml:space="preserve">Truro, Royal Cornwall Hospital </v>
      </c>
      <c r="C24" s="25" t="s">
        <v>20</v>
      </c>
      <c r="D24" s="56">
        <v>3</v>
      </c>
      <c r="E24" s="25" t="s">
        <v>21</v>
      </c>
      <c r="F24" s="64" t="str">
        <f>INDEX(Q4_Adult,21,7)</f>
        <v>No data</v>
      </c>
      <c r="G24" s="70" t="str">
        <f>INDEX(Q4_Adult,21,8)</f>
        <v>No data</v>
      </c>
      <c r="H24" s="210" t="str">
        <f>INDEX(Q4_Adult,21,9)</f>
        <v>No data</v>
      </c>
      <c r="I24" s="200">
        <f t="shared" si="0"/>
        <v>0</v>
      </c>
      <c r="J24" s="201" t="str">
        <f>INDEX(Q4_Adult,21,10)</f>
        <v>No data</v>
      </c>
      <c r="K24" s="200">
        <f t="shared" si="1"/>
        <v>0</v>
      </c>
      <c r="L24" s="201" t="str">
        <f>INDEX(Q4_Adult,21,11)</f>
        <v>No data</v>
      </c>
      <c r="M24" s="200">
        <f t="shared" si="2"/>
        <v>0</v>
      </c>
      <c r="N24" s="201" t="str">
        <f>INDEX(Q4_Adult,21,12)</f>
        <v>No data</v>
      </c>
      <c r="O24" s="200">
        <f t="shared" si="3"/>
        <v>0</v>
      </c>
      <c r="P24" s="202" t="str">
        <f>INDEX(Q4_Adult,21,13)</f>
        <v>No data</v>
      </c>
      <c r="Q24" s="199" t="str">
        <f>INDEX(Q4_Adult,21,15)</f>
        <v>No data</v>
      </c>
      <c r="R24" s="200">
        <f t="shared" si="4"/>
        <v>0</v>
      </c>
      <c r="S24" s="201" t="str">
        <f>INDEX(Q4_Adult,21,16)</f>
        <v>No data</v>
      </c>
      <c r="T24" s="200">
        <f t="shared" si="5"/>
        <v>0</v>
      </c>
      <c r="U24" s="203" t="str">
        <f>INDEX(Q4_Adult,21,17)</f>
        <v>No data</v>
      </c>
      <c r="V24" s="200">
        <f t="shared" si="6"/>
        <v>0</v>
      </c>
      <c r="W24" s="201" t="str">
        <f>INDEX(Q4_Adult,21,18)</f>
        <v>No data</v>
      </c>
      <c r="X24" s="200">
        <f t="shared" si="7"/>
        <v>0</v>
      </c>
      <c r="Y24" s="113" t="str">
        <f>INDEX(Q4_Adult,21,19)</f>
        <v>No data</v>
      </c>
      <c r="Z24" s="66" t="str">
        <f>INDEX(Q4_Adult,21,21)</f>
        <v>No data</v>
      </c>
      <c r="AA24" s="67" t="str">
        <f>INDEX(Q4_Adult,21,22)</f>
        <v>No data</v>
      </c>
    </row>
    <row r="25" spans="2:27" ht="15" thickTop="1" x14ac:dyDescent="0.3">
      <c r="B25" s="16"/>
      <c r="C25" s="16"/>
      <c r="D25" s="16"/>
      <c r="E25" s="16"/>
      <c r="F25" s="15"/>
      <c r="G25" s="15"/>
      <c r="H25" s="119"/>
      <c r="I25" s="15"/>
      <c r="J25" s="119"/>
      <c r="K25" s="15"/>
      <c r="L25" s="119"/>
      <c r="M25" s="15"/>
      <c r="N25" s="119"/>
      <c r="O25" s="15"/>
      <c r="P25" s="15"/>
      <c r="Q25" s="119"/>
      <c r="R25" s="15"/>
      <c r="S25" s="119"/>
      <c r="T25" s="15"/>
      <c r="U25" s="119"/>
      <c r="V25" s="15"/>
      <c r="W25" s="119"/>
      <c r="X25" s="15"/>
      <c r="Y25" s="15"/>
      <c r="Z25" s="15"/>
      <c r="AA25" s="15"/>
    </row>
    <row r="26" spans="2:27" ht="15" thickBot="1" x14ac:dyDescent="0.35">
      <c r="B26" s="16"/>
      <c r="C26" s="16"/>
      <c r="D26" s="16"/>
      <c r="E26" s="16"/>
      <c r="F26" s="15"/>
      <c r="G26" s="15"/>
      <c r="H26" s="119"/>
      <c r="I26" s="15"/>
      <c r="J26" s="119"/>
      <c r="K26" s="15"/>
      <c r="L26" s="119"/>
      <c r="M26" s="15"/>
      <c r="N26" s="119"/>
      <c r="O26" s="15"/>
      <c r="P26" s="15"/>
      <c r="Q26" s="119"/>
      <c r="R26" s="15"/>
      <c r="S26" s="119"/>
      <c r="T26" s="15"/>
      <c r="U26" s="119"/>
      <c r="V26" s="15"/>
      <c r="W26" s="119"/>
      <c r="X26" s="15"/>
      <c r="Y26" s="15"/>
      <c r="Z26" s="15"/>
      <c r="AA26" s="15"/>
    </row>
    <row r="27" spans="2:27" ht="14.4" x14ac:dyDescent="0.3">
      <c r="B27" s="299" t="s">
        <v>86</v>
      </c>
      <c r="C27" s="300" t="s">
        <v>87</v>
      </c>
      <c r="D27" s="301"/>
      <c r="E27" s="302"/>
      <c r="F27" s="309" t="s">
        <v>78</v>
      </c>
      <c r="G27" s="310"/>
      <c r="H27" s="311"/>
      <c r="I27" s="312"/>
      <c r="J27" s="315" t="s">
        <v>84</v>
      </c>
      <c r="K27" s="316"/>
      <c r="L27" s="319" t="s">
        <v>84</v>
      </c>
      <c r="M27" s="320"/>
      <c r="N27" s="323" t="s">
        <v>84</v>
      </c>
      <c r="O27" s="324"/>
      <c r="P27" s="229"/>
      <c r="Q27" s="311"/>
      <c r="R27" s="312"/>
      <c r="S27" s="315" t="s">
        <v>84</v>
      </c>
      <c r="T27" s="316"/>
      <c r="U27" s="319" t="s">
        <v>84</v>
      </c>
      <c r="V27" s="320"/>
      <c r="W27" s="323" t="s">
        <v>84</v>
      </c>
      <c r="X27" s="324"/>
      <c r="Y27" s="128"/>
      <c r="Z27" s="335" t="s">
        <v>81</v>
      </c>
      <c r="AA27" s="310"/>
    </row>
    <row r="28" spans="2:27" ht="14.4" x14ac:dyDescent="0.3">
      <c r="B28" s="299"/>
      <c r="C28" s="303"/>
      <c r="D28" s="304"/>
      <c r="E28" s="305"/>
      <c r="F28" s="336" t="s">
        <v>79</v>
      </c>
      <c r="G28" s="337"/>
      <c r="H28" s="313"/>
      <c r="I28" s="314"/>
      <c r="J28" s="317"/>
      <c r="K28" s="318"/>
      <c r="L28" s="321"/>
      <c r="M28" s="322"/>
      <c r="N28" s="325"/>
      <c r="O28" s="326"/>
      <c r="P28" s="230"/>
      <c r="Q28" s="313"/>
      <c r="R28" s="314"/>
      <c r="S28" s="317"/>
      <c r="T28" s="318"/>
      <c r="U28" s="321"/>
      <c r="V28" s="322"/>
      <c r="W28" s="325"/>
      <c r="X28" s="326"/>
      <c r="Y28" s="129"/>
      <c r="Z28" s="338" t="s">
        <v>82</v>
      </c>
      <c r="AA28" s="337"/>
    </row>
    <row r="29" spans="2:27" ht="15" thickBot="1" x14ac:dyDescent="0.35">
      <c r="B29" s="299"/>
      <c r="C29" s="306"/>
      <c r="D29" s="307"/>
      <c r="E29" s="308"/>
      <c r="F29" s="331" t="s">
        <v>80</v>
      </c>
      <c r="G29" s="332"/>
      <c r="H29" s="333"/>
      <c r="I29" s="334"/>
      <c r="J29" s="339" t="s">
        <v>85</v>
      </c>
      <c r="K29" s="334"/>
      <c r="L29" s="339" t="s">
        <v>85</v>
      </c>
      <c r="M29" s="334"/>
      <c r="N29" s="339" t="s">
        <v>85</v>
      </c>
      <c r="O29" s="334"/>
      <c r="P29" s="227"/>
      <c r="Q29" s="333"/>
      <c r="R29" s="334"/>
      <c r="S29" s="339" t="s">
        <v>85</v>
      </c>
      <c r="T29" s="334"/>
      <c r="U29" s="339" t="s">
        <v>85</v>
      </c>
      <c r="V29" s="334"/>
      <c r="W29" s="339" t="s">
        <v>85</v>
      </c>
      <c r="X29" s="334"/>
      <c r="Y29" s="115"/>
      <c r="Z29" s="340" t="s">
        <v>83</v>
      </c>
      <c r="AA29" s="332"/>
    </row>
    <row r="30" spans="2:27" ht="14.4" x14ac:dyDescent="0.3">
      <c r="B30" s="17"/>
      <c r="C30" s="17"/>
      <c r="D30" s="17"/>
      <c r="E30" s="17"/>
      <c r="F30" s="18"/>
      <c r="G30" s="18"/>
      <c r="H30" s="120"/>
      <c r="I30" s="18"/>
      <c r="J30" s="120"/>
      <c r="K30" s="18"/>
      <c r="L30" s="120"/>
      <c r="M30" s="18"/>
      <c r="N30" s="120"/>
      <c r="O30" s="18"/>
      <c r="P30" s="18"/>
      <c r="Q30" s="120"/>
      <c r="R30" s="18"/>
      <c r="S30" s="120"/>
      <c r="T30" s="18"/>
      <c r="U30" s="120"/>
      <c r="V30" s="18"/>
      <c r="W30" s="120"/>
      <c r="X30" s="18"/>
      <c r="Y30" s="18"/>
      <c r="Z30" s="18"/>
      <c r="AA30" s="19"/>
    </row>
    <row r="31" spans="2:27" ht="14.4" x14ac:dyDescent="0.3">
      <c r="B31" s="15"/>
      <c r="C31" s="15"/>
      <c r="D31" s="15"/>
      <c r="E31" s="15"/>
      <c r="F31" s="20">
        <v>10</v>
      </c>
      <c r="G31" s="20">
        <v>10</v>
      </c>
      <c r="H31" s="121">
        <v>10</v>
      </c>
      <c r="I31" s="20"/>
      <c r="J31" s="121">
        <v>10</v>
      </c>
      <c r="K31" s="20">
        <v>10</v>
      </c>
      <c r="L31" s="121">
        <v>10</v>
      </c>
      <c r="M31" s="20"/>
      <c r="N31" s="121"/>
      <c r="O31" s="20"/>
      <c r="P31" s="20"/>
      <c r="Q31" s="121"/>
      <c r="R31" s="20"/>
      <c r="S31" s="121"/>
      <c r="T31" s="20"/>
      <c r="U31" s="121"/>
      <c r="V31" s="20"/>
      <c r="W31" s="121"/>
      <c r="X31" s="20"/>
      <c r="Y31" s="20"/>
      <c r="Z31" s="20"/>
      <c r="AA31" s="15"/>
    </row>
    <row r="32" spans="2:27" ht="14.4" x14ac:dyDescent="0.3">
      <c r="B32" s="16" t="s">
        <v>15</v>
      </c>
      <c r="C32" s="16"/>
      <c r="D32" s="16"/>
      <c r="E32" s="16"/>
      <c r="F32" s="21"/>
      <c r="G32" s="15"/>
      <c r="H32" s="119"/>
      <c r="I32" s="15"/>
      <c r="J32" s="119"/>
      <c r="K32" s="15"/>
      <c r="L32" s="119"/>
      <c r="M32" s="15"/>
      <c r="N32" s="119"/>
      <c r="O32" s="15"/>
      <c r="P32" s="15"/>
      <c r="Q32" s="119"/>
      <c r="R32" s="15"/>
      <c r="S32" s="119"/>
      <c r="T32" s="15"/>
      <c r="U32" s="119"/>
      <c r="V32" s="15"/>
      <c r="W32" s="119"/>
      <c r="X32" s="15"/>
      <c r="Y32" s="15"/>
      <c r="Z32" s="15"/>
      <c r="AA32" s="15"/>
    </row>
    <row r="33" spans="2:27" ht="14.4" x14ac:dyDescent="0.3">
      <c r="B33" s="22" t="s">
        <v>16</v>
      </c>
      <c r="C33" s="22"/>
      <c r="D33" s="22"/>
      <c r="E33" s="22"/>
      <c r="F33" s="15"/>
      <c r="G33" s="15"/>
      <c r="H33" s="119"/>
      <c r="I33" s="15"/>
      <c r="J33" s="119"/>
      <c r="K33" s="15"/>
      <c r="L33" s="119"/>
      <c r="M33" s="15"/>
      <c r="N33" s="119"/>
      <c r="O33" s="15"/>
      <c r="P33" s="15"/>
      <c r="Q33" s="119"/>
      <c r="R33" s="15"/>
      <c r="S33" s="119"/>
      <c r="T33" s="15"/>
      <c r="U33" s="119"/>
      <c r="V33" s="15"/>
      <c r="W33" s="119"/>
      <c r="X33" s="15"/>
      <c r="Y33" s="15"/>
      <c r="Z33" s="15"/>
      <c r="AA33" s="15"/>
    </row>
    <row r="34" spans="2:27" ht="14.4" x14ac:dyDescent="0.3">
      <c r="B34" s="23"/>
      <c r="C34" s="23"/>
      <c r="D34" s="23"/>
      <c r="E34" s="23"/>
      <c r="F34" s="15"/>
      <c r="G34" s="15"/>
      <c r="H34" s="119"/>
      <c r="I34" s="15"/>
      <c r="J34" s="119"/>
      <c r="K34" s="15"/>
      <c r="L34" s="119"/>
      <c r="M34" s="15"/>
      <c r="N34" s="119"/>
      <c r="O34" s="15"/>
      <c r="P34" s="15"/>
      <c r="Q34" s="119"/>
      <c r="R34" s="15"/>
      <c r="S34" s="119"/>
      <c r="T34" s="15"/>
      <c r="U34" s="119"/>
      <c r="V34" s="15"/>
      <c r="W34" s="119"/>
      <c r="X34" s="15"/>
      <c r="Y34" s="15"/>
      <c r="Z34" s="15"/>
      <c r="AA34" s="15"/>
    </row>
    <row r="35" spans="2:27" ht="14.4" x14ac:dyDescent="0.3"/>
    <row r="36" spans="2:27" ht="14.4" x14ac:dyDescent="0.3"/>
    <row r="37" spans="2:27" ht="14.4" hidden="1" x14ac:dyDescent="0.3"/>
    <row r="38" spans="2:27" ht="14.4" hidden="1" x14ac:dyDescent="0.3"/>
    <row r="39" spans="2:27" ht="14.4" hidden="1" x14ac:dyDescent="0.3"/>
    <row r="40" spans="2:27" ht="14.4" hidden="1" x14ac:dyDescent="0.3"/>
    <row r="41" spans="2:27" ht="14.4" hidden="1" x14ac:dyDescent="0.3"/>
    <row r="42" spans="2:27" ht="14.4" hidden="1" x14ac:dyDescent="0.3"/>
    <row r="43" spans="2:27" ht="14.4" hidden="1" x14ac:dyDescent="0.3"/>
    <row r="44" spans="2:27" ht="14.4" hidden="1" x14ac:dyDescent="0.3"/>
    <row r="45" spans="2:27" ht="14.4" hidden="1" x14ac:dyDescent="0.3"/>
    <row r="46" spans="2:27" ht="14.4" hidden="1" x14ac:dyDescent="0.3"/>
    <row r="47" spans="2:27" ht="14.4" hidden="1" x14ac:dyDescent="0.3"/>
    <row r="48" spans="2:27" ht="14.4" hidden="1" x14ac:dyDescent="0.3"/>
    <row r="49" ht="14.4" hidden="1" x14ac:dyDescent="0.3"/>
    <row r="50" ht="14.4" hidden="1" x14ac:dyDescent="0.3"/>
    <row r="51" ht="14.4" hidden="1" x14ac:dyDescent="0.3"/>
    <row r="52" ht="14.4" hidden="1" x14ac:dyDescent="0.3"/>
    <row r="53" ht="14.4" hidden="1" x14ac:dyDescent="0.3"/>
    <row r="54" ht="14.4" hidden="1" x14ac:dyDescent="0.3"/>
    <row r="55" ht="14.4" hidden="1" x14ac:dyDescent="0.3"/>
    <row r="56" ht="14.4" hidden="1" x14ac:dyDescent="0.3"/>
    <row r="57" ht="14.4" hidden="1" x14ac:dyDescent="0.3"/>
    <row r="58" ht="14.4" hidden="1" x14ac:dyDescent="0.3"/>
    <row r="59" ht="14.4" hidden="1" x14ac:dyDescent="0.3"/>
    <row r="60" ht="14.4" hidden="1" x14ac:dyDescent="0.3"/>
    <row r="61" ht="14.4" hidden="1" x14ac:dyDescent="0.3"/>
    <row r="62" ht="14.4" customHeight="1" x14ac:dyDescent="0.3"/>
  </sheetData>
  <mergeCells count="45">
    <mergeCell ref="Z27:AA27"/>
    <mergeCell ref="F28:G28"/>
    <mergeCell ref="Z28:AA28"/>
    <mergeCell ref="Q29:R29"/>
    <mergeCell ref="S29:T29"/>
    <mergeCell ref="U29:V29"/>
    <mergeCell ref="W29:X29"/>
    <mergeCell ref="Z29:AA29"/>
    <mergeCell ref="J29:K29"/>
    <mergeCell ref="L29:M29"/>
    <mergeCell ref="N29:O29"/>
    <mergeCell ref="U27:V28"/>
    <mergeCell ref="W27:X28"/>
    <mergeCell ref="W7:X7"/>
    <mergeCell ref="B27:B29"/>
    <mergeCell ref="C27:E29"/>
    <mergeCell ref="F27:G27"/>
    <mergeCell ref="H27:I28"/>
    <mergeCell ref="J27:K28"/>
    <mergeCell ref="L27:M28"/>
    <mergeCell ref="N27:O28"/>
    <mergeCell ref="Q27:R28"/>
    <mergeCell ref="S27:T28"/>
    <mergeCell ref="B5:B7"/>
    <mergeCell ref="C5:C7"/>
    <mergeCell ref="D5:D7"/>
    <mergeCell ref="E5:E7"/>
    <mergeCell ref="F29:G29"/>
    <mergeCell ref="H29:I29"/>
    <mergeCell ref="Z5:AA5"/>
    <mergeCell ref="F6:F7"/>
    <mergeCell ref="G6:G7"/>
    <mergeCell ref="H6:P6"/>
    <mergeCell ref="Q6:Y6"/>
    <mergeCell ref="Z6:Z7"/>
    <mergeCell ref="AA6:AA7"/>
    <mergeCell ref="H7:I7"/>
    <mergeCell ref="J7:K7"/>
    <mergeCell ref="L7:M7"/>
    <mergeCell ref="F5:G5"/>
    <mergeCell ref="H5:Y5"/>
    <mergeCell ref="N7:O7"/>
    <mergeCell ref="Q7:R7"/>
    <mergeCell ref="S7:T7"/>
    <mergeCell ref="U7:V7"/>
  </mergeCells>
  <conditionalFormatting sqref="F8:G9">
    <cfRule type="containsText" dxfId="51" priority="28" operator="containsText" text="N/A">
      <formula>NOT(ISERROR(SEARCH("N/A",F8)))</formula>
    </cfRule>
    <cfRule type="cellIs" dxfId="50" priority="35" operator="between">
      <formula>0.01</formula>
      <formula>13</formula>
    </cfRule>
    <cfRule type="cellIs" dxfId="49" priority="36" operator="between">
      <formula>13</formula>
      <formula>18</formula>
    </cfRule>
    <cfRule type="cellIs" dxfId="48" priority="37" operator="greaterThan">
      <formula>18</formula>
    </cfRule>
    <cfRule type="cellIs" dxfId="47" priority="38" operator="greaterThan">
      <formula>18</formula>
    </cfRule>
  </conditionalFormatting>
  <conditionalFormatting sqref="T8:T9 K8:K9">
    <cfRule type="cellIs" dxfId="46" priority="34" operator="greaterThan">
      <formula>0.5</formula>
    </cfRule>
  </conditionalFormatting>
  <conditionalFormatting sqref="M8:M9 V8:V9">
    <cfRule type="cellIs" dxfId="45" priority="33" operator="greaterThan">
      <formula>0.49</formula>
    </cfRule>
  </conditionalFormatting>
  <conditionalFormatting sqref="X8:X9 O8:O9">
    <cfRule type="cellIs" dxfId="44" priority="32" operator="greaterThan">
      <formula>0.5</formula>
    </cfRule>
  </conditionalFormatting>
  <conditionalFormatting sqref="Z8:AA9">
    <cfRule type="cellIs" dxfId="43" priority="29" operator="between">
      <formula>0.0001</formula>
      <formula>0.1</formula>
    </cfRule>
    <cfRule type="cellIs" dxfId="42" priority="30" operator="between">
      <formula>0.1</formula>
      <formula>0.19</formula>
    </cfRule>
    <cfRule type="cellIs" dxfId="41" priority="31" operator="greaterThan">
      <formula>0.2</formula>
    </cfRule>
  </conditionalFormatting>
  <conditionalFormatting sqref="J8:J24">
    <cfRule type="expression" dxfId="40" priority="27">
      <formula>($J8/$P8*100)&gt;49.49</formula>
    </cfRule>
  </conditionalFormatting>
  <conditionalFormatting sqref="L8:L24">
    <cfRule type="expression" dxfId="39" priority="26">
      <formula>($L8/$P8*100)&gt;49.49</formula>
    </cfRule>
  </conditionalFormatting>
  <conditionalFormatting sqref="N8:N24">
    <cfRule type="expression" dxfId="38" priority="25">
      <formula>($N8/$P8*100)&gt;49.49</formula>
    </cfRule>
  </conditionalFormatting>
  <conditionalFormatting sqref="S8:S24">
    <cfRule type="expression" dxfId="37" priority="24">
      <formula>($S8/$Y8*100)&gt;49.49</formula>
    </cfRule>
  </conditionalFormatting>
  <conditionalFormatting sqref="U8:U24">
    <cfRule type="expression" dxfId="36" priority="23">
      <formula>($U8/$Y8*100)&gt;49.49</formula>
    </cfRule>
  </conditionalFormatting>
  <conditionalFormatting sqref="W8:W24">
    <cfRule type="expression" dxfId="35" priority="22">
      <formula>($W8/$Y8*100)&gt;49.49</formula>
    </cfRule>
  </conditionalFormatting>
  <conditionalFormatting sqref="L9">
    <cfRule type="expression" dxfId="34" priority="21">
      <formula>"$M$9=&gt;.499"</formula>
    </cfRule>
  </conditionalFormatting>
  <conditionalFormatting sqref="F8:AA24">
    <cfRule type="expression" dxfId="33" priority="20">
      <formula>$F8="No data"</formula>
    </cfRule>
  </conditionalFormatting>
  <conditionalFormatting sqref="F10:G24">
    <cfRule type="containsText" dxfId="32" priority="9" operator="containsText" text="N/A">
      <formula>NOT(ISERROR(SEARCH("N/A",F10)))</formula>
    </cfRule>
    <cfRule type="cellIs" dxfId="31" priority="16" operator="between">
      <formula>0.01</formula>
      <formula>13</formula>
    </cfRule>
    <cfRule type="cellIs" dxfId="30" priority="17" operator="between">
      <formula>13</formula>
      <formula>18</formula>
    </cfRule>
    <cfRule type="cellIs" dxfId="29" priority="18" operator="greaterThan">
      <formula>18</formula>
    </cfRule>
    <cfRule type="cellIs" dxfId="28" priority="19" operator="greaterThan">
      <formula>18</formula>
    </cfRule>
  </conditionalFormatting>
  <conditionalFormatting sqref="T10:T24 K10:K24">
    <cfRule type="cellIs" dxfId="27" priority="15" operator="greaterThan">
      <formula>0.5</formula>
    </cfRule>
  </conditionalFormatting>
  <conditionalFormatting sqref="M10:M24 V10:V24">
    <cfRule type="cellIs" dxfId="26" priority="14" operator="greaterThan">
      <formula>0.49</formula>
    </cfRule>
  </conditionalFormatting>
  <conditionalFormatting sqref="X10:X24 O10:O24">
    <cfRule type="cellIs" dxfId="25" priority="13" operator="greaterThan">
      <formula>0.5</formula>
    </cfRule>
  </conditionalFormatting>
  <conditionalFormatting sqref="Z10:AA24">
    <cfRule type="cellIs" dxfId="24" priority="10" operator="between">
      <formula>0.0001</formula>
      <formula>0.1</formula>
    </cfRule>
    <cfRule type="cellIs" dxfId="23" priority="11" operator="between">
      <formula>0.1</formula>
      <formula>0.19</formula>
    </cfRule>
    <cfRule type="cellIs" dxfId="22" priority="12" operator="greaterThan">
      <formula>0.2</formula>
    </cfRule>
  </conditionalFormatting>
  <conditionalFormatting sqref="L11 L13 L15 L17 L19 L21 L23">
    <cfRule type="expression" dxfId="21" priority="2">
      <formula>"$M$9=&gt;.499"</formula>
    </cfRule>
  </conditionalFormatting>
  <hyperlinks>
    <hyperlink ref="C27:E29" location="Sheet1!A1" display="For more information on rag ratings please click here" xr:uid="{00000000-0004-0000-0B00-000000000000}"/>
    <hyperlink ref="B3" location="'Front Page'!A1" display="Return to Contents" xr:uid="{00000000-0004-0000-0B00-000001000000}"/>
  </hyperlink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D62"/>
  <sheetViews>
    <sheetView showGridLines="0" zoomScaleNormal="100" workbookViewId="0">
      <selection activeCell="B4" sqref="B4"/>
    </sheetView>
  </sheetViews>
  <sheetFormatPr defaultColWidth="0" defaultRowHeight="0" customHeight="1" zeroHeight="1" x14ac:dyDescent="0.3"/>
  <cols>
    <col min="1" max="1" width="4" style="33" customWidth="1"/>
    <col min="2" max="2" width="59.6640625" style="33" customWidth="1"/>
    <col min="3" max="3" width="11.6640625" style="33" customWidth="1"/>
    <col min="4" max="4" width="7.6640625" style="33" customWidth="1"/>
    <col min="5" max="5" width="10" style="33" customWidth="1"/>
    <col min="6" max="7" width="12" style="33" customWidth="1"/>
    <col min="8" max="8" width="5.109375" style="122" customWidth="1"/>
    <col min="9" max="9" width="6.88671875" style="33" customWidth="1"/>
    <col min="10" max="10" width="5.109375" style="122" customWidth="1"/>
    <col min="11" max="11" width="6.88671875" style="33" customWidth="1"/>
    <col min="12" max="12" width="5.109375" style="122" customWidth="1"/>
    <col min="13" max="13" width="6.88671875" style="33" customWidth="1"/>
    <col min="14" max="14" width="5.109375" style="122" customWidth="1"/>
    <col min="15" max="15" width="6.88671875" style="33" customWidth="1"/>
    <col min="16" max="16" width="11.5546875" style="33" customWidth="1"/>
    <col min="17" max="17" width="5.109375" style="122" customWidth="1"/>
    <col min="18" max="18" width="6.88671875" style="33" customWidth="1"/>
    <col min="19" max="19" width="5.109375" style="122" customWidth="1"/>
    <col min="20" max="20" width="6.88671875" style="33" customWidth="1"/>
    <col min="21" max="21" width="5.109375" style="122" customWidth="1"/>
    <col min="22" max="22" width="6.88671875" style="33" customWidth="1"/>
    <col min="23" max="23" width="5.109375" style="122" customWidth="1"/>
    <col min="24" max="24" width="6.88671875" style="33" customWidth="1"/>
    <col min="25" max="25" width="11.5546875" style="33" customWidth="1"/>
    <col min="26" max="27" width="10.6640625" style="33" customWidth="1"/>
    <col min="28" max="28" width="9.109375" style="33" customWidth="1"/>
    <col min="29" max="30" width="0" style="33" hidden="1" customWidth="1"/>
    <col min="31" max="16384" width="9.109375" style="33" hidden="1"/>
  </cols>
  <sheetData>
    <row r="1" spans="1:28" ht="35.25" customHeight="1" x14ac:dyDescent="0.3">
      <c r="A1" s="10"/>
      <c r="B1" s="96" t="s">
        <v>101</v>
      </c>
      <c r="C1" s="83"/>
      <c r="D1" s="83"/>
      <c r="E1" s="83"/>
      <c r="F1" s="83"/>
      <c r="G1" s="83"/>
      <c r="H1" s="116"/>
      <c r="I1" s="83"/>
      <c r="J1" s="116"/>
      <c r="K1" s="83"/>
      <c r="L1" s="116"/>
      <c r="M1" s="83"/>
      <c r="N1" s="116"/>
      <c r="O1" s="83"/>
      <c r="P1" s="83"/>
      <c r="Q1" s="116"/>
      <c r="R1" s="83"/>
      <c r="S1" s="116"/>
      <c r="T1" s="83"/>
      <c r="U1" s="116"/>
      <c r="V1" s="83"/>
      <c r="W1" s="116"/>
      <c r="X1" s="83"/>
      <c r="Y1" s="83"/>
      <c r="Z1" s="83"/>
      <c r="AA1" s="83"/>
      <c r="AB1" s="83"/>
    </row>
    <row r="2" spans="1:28" s="41" customFormat="1" ht="5.0999999999999996" customHeight="1" x14ac:dyDescent="0.3">
      <c r="B2" s="123"/>
      <c r="C2" s="124"/>
      <c r="D2" s="124"/>
      <c r="E2" s="124"/>
      <c r="F2" s="124"/>
      <c r="G2" s="124"/>
      <c r="H2" s="125"/>
      <c r="I2" s="124"/>
      <c r="J2" s="125"/>
      <c r="K2" s="124"/>
      <c r="L2" s="125"/>
      <c r="M2" s="124"/>
      <c r="N2" s="125"/>
      <c r="O2" s="124"/>
      <c r="P2" s="124"/>
      <c r="Q2" s="125"/>
      <c r="R2" s="124"/>
      <c r="S2" s="125"/>
      <c r="T2" s="124"/>
      <c r="U2" s="125"/>
      <c r="V2" s="124"/>
      <c r="W2" s="125"/>
      <c r="X2" s="124"/>
      <c r="Y2" s="124"/>
      <c r="AB2" s="124"/>
    </row>
    <row r="3" spans="1:28" s="92" customFormat="1" ht="31.5" customHeight="1" x14ac:dyDescent="0.35">
      <c r="B3" s="126" t="s">
        <v>95</v>
      </c>
      <c r="C3" s="93"/>
      <c r="D3" s="93"/>
      <c r="E3" s="93"/>
      <c r="F3" s="93"/>
      <c r="H3" s="117"/>
      <c r="I3" s="93"/>
      <c r="J3" s="117"/>
      <c r="K3" s="93"/>
      <c r="L3" s="117"/>
      <c r="M3" s="94"/>
      <c r="N3" s="117"/>
      <c r="O3" s="94"/>
      <c r="P3" s="94"/>
      <c r="Q3" s="117"/>
      <c r="R3" s="94"/>
      <c r="S3" s="117"/>
      <c r="T3" s="94"/>
      <c r="U3" s="117"/>
      <c r="V3" s="94"/>
      <c r="W3" s="117"/>
      <c r="X3" s="94"/>
      <c r="Y3" s="94"/>
      <c r="Z3" s="93"/>
      <c r="AA3" s="95"/>
    </row>
    <row r="4" spans="1:28" ht="35.4" customHeight="1" thickBot="1" x14ac:dyDescent="0.5">
      <c r="B4" s="127" t="s">
        <v>181</v>
      </c>
      <c r="C4" s="13"/>
      <c r="D4" s="13"/>
      <c r="E4" s="13"/>
      <c r="F4" s="42"/>
      <c r="G4" s="13"/>
      <c r="H4" s="118"/>
      <c r="I4" s="13"/>
      <c r="J4" s="118"/>
      <c r="K4" s="13"/>
      <c r="L4" s="118"/>
      <c r="M4" s="14"/>
      <c r="N4" s="118"/>
      <c r="O4" s="14"/>
      <c r="P4" s="14"/>
      <c r="Q4" s="118"/>
      <c r="R4" s="14"/>
      <c r="S4" s="118"/>
      <c r="T4" s="14"/>
      <c r="U4" s="118"/>
      <c r="V4" s="14"/>
      <c r="W4" s="118"/>
      <c r="X4" s="14"/>
      <c r="Y4" s="14"/>
      <c r="Z4" s="13"/>
      <c r="AA4" s="15"/>
    </row>
    <row r="5" spans="1:28" ht="30.75" customHeight="1" thickTop="1" thickBot="1" x14ac:dyDescent="0.35">
      <c r="B5" s="327" t="s">
        <v>14</v>
      </c>
      <c r="C5" s="328" t="s">
        <v>18</v>
      </c>
      <c r="D5" s="328" t="s">
        <v>65</v>
      </c>
      <c r="E5" s="328" t="s">
        <v>19</v>
      </c>
      <c r="F5" s="288" t="s">
        <v>24</v>
      </c>
      <c r="G5" s="289"/>
      <c r="H5" s="288" t="s">
        <v>27</v>
      </c>
      <c r="I5" s="294"/>
      <c r="J5" s="294"/>
      <c r="K5" s="294"/>
      <c r="L5" s="294"/>
      <c r="M5" s="294"/>
      <c r="N5" s="294"/>
      <c r="O5" s="294"/>
      <c r="P5" s="294"/>
      <c r="Q5" s="294"/>
      <c r="R5" s="294"/>
      <c r="S5" s="294"/>
      <c r="T5" s="294"/>
      <c r="U5" s="294"/>
      <c r="V5" s="294"/>
      <c r="W5" s="294"/>
      <c r="X5" s="294"/>
      <c r="Y5" s="294"/>
      <c r="Z5" s="288" t="s">
        <v>3</v>
      </c>
      <c r="AA5" s="289"/>
    </row>
    <row r="6" spans="1:28" ht="44.1" customHeight="1" thickTop="1" thickBot="1" x14ac:dyDescent="0.35">
      <c r="B6" s="327"/>
      <c r="C6" s="329"/>
      <c r="D6" s="329"/>
      <c r="E6" s="329"/>
      <c r="F6" s="290" t="s">
        <v>25</v>
      </c>
      <c r="G6" s="292" t="s">
        <v>26</v>
      </c>
      <c r="H6" s="288" t="s">
        <v>32</v>
      </c>
      <c r="I6" s="294"/>
      <c r="J6" s="294"/>
      <c r="K6" s="294"/>
      <c r="L6" s="294"/>
      <c r="M6" s="294"/>
      <c r="N6" s="294"/>
      <c r="O6" s="294"/>
      <c r="P6" s="294"/>
      <c r="Q6" s="288" t="s">
        <v>31</v>
      </c>
      <c r="R6" s="294"/>
      <c r="S6" s="294"/>
      <c r="T6" s="294"/>
      <c r="U6" s="294"/>
      <c r="V6" s="294"/>
      <c r="W6" s="294"/>
      <c r="X6" s="294"/>
      <c r="Y6" s="294"/>
      <c r="Z6" s="290" t="s">
        <v>9</v>
      </c>
      <c r="AA6" s="292" t="s">
        <v>17</v>
      </c>
    </row>
    <row r="7" spans="1:28" ht="51.75" customHeight="1" thickTop="1" thickBot="1" x14ac:dyDescent="0.35">
      <c r="B7" s="327"/>
      <c r="C7" s="330"/>
      <c r="D7" s="330"/>
      <c r="E7" s="330"/>
      <c r="F7" s="291"/>
      <c r="G7" s="293"/>
      <c r="H7" s="295" t="s">
        <v>117</v>
      </c>
      <c r="I7" s="296"/>
      <c r="J7" s="297" t="s">
        <v>28</v>
      </c>
      <c r="K7" s="297"/>
      <c r="L7" s="297" t="s">
        <v>29</v>
      </c>
      <c r="M7" s="297"/>
      <c r="N7" s="298" t="s">
        <v>30</v>
      </c>
      <c r="O7" s="297"/>
      <c r="P7" s="228" t="s">
        <v>118</v>
      </c>
      <c r="Q7" s="295" t="s">
        <v>117</v>
      </c>
      <c r="R7" s="296"/>
      <c r="S7" s="297" t="s">
        <v>28</v>
      </c>
      <c r="T7" s="297"/>
      <c r="U7" s="297" t="s">
        <v>29</v>
      </c>
      <c r="V7" s="297"/>
      <c r="W7" s="298" t="s">
        <v>30</v>
      </c>
      <c r="X7" s="297"/>
      <c r="Y7" s="228" t="s">
        <v>118</v>
      </c>
      <c r="Z7" s="291"/>
      <c r="AA7" s="293"/>
    </row>
    <row r="8" spans="1:28" s="82" customFormat="1" ht="21.75" customHeight="1" thickTop="1" thickBot="1" x14ac:dyDescent="0.35">
      <c r="B8" s="27" t="s">
        <v>164</v>
      </c>
      <c r="C8" s="27" t="s">
        <v>23</v>
      </c>
      <c r="D8" s="58">
        <v>1</v>
      </c>
      <c r="E8" s="27" t="s">
        <v>21</v>
      </c>
      <c r="F8" s="213" t="str">
        <f>INDEX(Q4_Paeds,15,7)</f>
        <v>No data</v>
      </c>
      <c r="G8" s="213" t="str">
        <f>INDEX(Q4_Paeds,15,8)</f>
        <v>No data</v>
      </c>
      <c r="H8" s="199" t="str">
        <f>INDEX(Q4_Paeds,15,9)</f>
        <v>No data</v>
      </c>
      <c r="I8" s="200">
        <f>IFERROR(H8/P8,0)</f>
        <v>0</v>
      </c>
      <c r="J8" s="201" t="str">
        <f>INDEX(Q4_Paeds,15,10)</f>
        <v>No data</v>
      </c>
      <c r="K8" s="200">
        <f>IFERROR(J8/P8,0)</f>
        <v>0</v>
      </c>
      <c r="L8" s="201" t="str">
        <f>INDEX(Q4_Paeds,15,11)</f>
        <v>No data</v>
      </c>
      <c r="M8" s="200">
        <f>IFERROR(L8/P8,0)</f>
        <v>0</v>
      </c>
      <c r="N8" s="201" t="str">
        <f>INDEX(Q4_Paeds,15,12)</f>
        <v>No data</v>
      </c>
      <c r="O8" s="200">
        <f>IFERROR(N8/P8,0)</f>
        <v>0</v>
      </c>
      <c r="P8" s="202" t="str">
        <f>INDEX(Q4_Paeds,15,13)</f>
        <v>No data</v>
      </c>
      <c r="Q8" s="199" t="str">
        <f>INDEX(Q4_Paeds,15,15)</f>
        <v>No data</v>
      </c>
      <c r="R8" s="200">
        <f>IFERROR(Q8/Y8,0)</f>
        <v>0</v>
      </c>
      <c r="S8" s="201" t="str">
        <f>INDEX(Q4_Paeds,15,16)</f>
        <v>No data</v>
      </c>
      <c r="T8" s="200">
        <f>IFERROR(S8/Y8,0)</f>
        <v>0</v>
      </c>
      <c r="U8" s="203" t="str">
        <f>INDEX(Q4_Paeds,15,17)</f>
        <v>No data</v>
      </c>
      <c r="V8" s="200">
        <f>IFERROR(U8/Y8,0)</f>
        <v>0</v>
      </c>
      <c r="W8" s="201" t="str">
        <f>INDEX(Q4_Paeds,15,18)</f>
        <v>No data</v>
      </c>
      <c r="X8" s="200">
        <f>IFERROR(W8/Y8,0)</f>
        <v>0</v>
      </c>
      <c r="Y8" s="202" t="str">
        <f>INDEX(Q4_Paeds,15,19)</f>
        <v>No data</v>
      </c>
      <c r="Z8" s="214" t="str">
        <f>INDEX(Q4_Paeds,15,21)</f>
        <v>No data</v>
      </c>
      <c r="AA8" s="215" t="str">
        <f>INDEX(Q4_Paeds,15,22)</f>
        <v>No data</v>
      </c>
    </row>
    <row r="9" spans="1:28" s="8" customFormat="1" ht="21.75" customHeight="1" thickTop="1" thickBot="1" x14ac:dyDescent="0.35">
      <c r="B9" s="28" t="s">
        <v>158</v>
      </c>
      <c r="C9" s="28" t="s">
        <v>23</v>
      </c>
      <c r="D9" s="59">
        <v>2</v>
      </c>
      <c r="E9" s="28" t="s">
        <v>22</v>
      </c>
      <c r="F9" s="216" t="str">
        <f>INDEX(Q4_Paeds,6,7)</f>
        <v>No data</v>
      </c>
      <c r="G9" s="217" t="str">
        <f>INDEX(Q4_Paeds,6,8)</f>
        <v>No data</v>
      </c>
      <c r="H9" s="204" t="str">
        <f>INDEX(Q4_Paeds,6,9)</f>
        <v>No data</v>
      </c>
      <c r="I9" s="205">
        <f>IFERROR(H9/P9,0)</f>
        <v>0</v>
      </c>
      <c r="J9" s="206" t="str">
        <f>INDEX(Q4_Paeds,6,10)</f>
        <v>No data</v>
      </c>
      <c r="K9" s="205">
        <f>IFERROR(J9/P9,0)</f>
        <v>0</v>
      </c>
      <c r="L9" s="206" t="str">
        <f>INDEX(Q4_Paeds,6,11)</f>
        <v>No data</v>
      </c>
      <c r="M9" s="205">
        <f>IFERROR(L9/P9,0)</f>
        <v>0</v>
      </c>
      <c r="N9" s="206" t="str">
        <f>INDEX(Q4_Paeds,6,12)</f>
        <v>No data</v>
      </c>
      <c r="O9" s="205">
        <f>IFERROR(N9/P9,0)</f>
        <v>0</v>
      </c>
      <c r="P9" s="207" t="str">
        <f>INDEX(Q4_Paeds,6,13)</f>
        <v>No data</v>
      </c>
      <c r="Q9" s="208" t="str">
        <f>INDEX(Q4_Paeds,6,15)</f>
        <v>No data</v>
      </c>
      <c r="R9" s="205">
        <f>IFERROR(Q9/Y9,0)</f>
        <v>0</v>
      </c>
      <c r="S9" s="206" t="str">
        <f>INDEX(Q4_Paeds,6,16)</f>
        <v>No data</v>
      </c>
      <c r="T9" s="205">
        <f>IFERROR(S9/Y9,0)</f>
        <v>0</v>
      </c>
      <c r="U9" s="209" t="str">
        <f>INDEX(Q4_Paeds,6,17)</f>
        <v>No data</v>
      </c>
      <c r="V9" s="205">
        <f>IFERROR(U9/Y9,0)</f>
        <v>0</v>
      </c>
      <c r="W9" s="206" t="str">
        <f>INDEX(Q4_Paeds,6,18)</f>
        <v>No data</v>
      </c>
      <c r="X9" s="205">
        <f>IFERROR(W9/Y9,0)</f>
        <v>0</v>
      </c>
      <c r="Y9" s="207" t="str">
        <f>INDEX(Q4_Paeds,6,19)</f>
        <v>No data</v>
      </c>
      <c r="Z9" s="218" t="str">
        <f>INDEX(Q4_Paeds,6,21)</f>
        <v>No data</v>
      </c>
      <c r="AA9" s="219" t="str">
        <f>INDEX(Q4_Paeds,6,22)</f>
        <v>No data</v>
      </c>
    </row>
    <row r="10" spans="1:28" s="8" customFormat="1" ht="21.75" customHeight="1" thickTop="1" thickBot="1" x14ac:dyDescent="0.35">
      <c r="B10" s="25" t="s">
        <v>157</v>
      </c>
      <c r="C10" s="25" t="s">
        <v>23</v>
      </c>
      <c r="D10" s="56">
        <v>3</v>
      </c>
      <c r="E10" s="25" t="s">
        <v>22</v>
      </c>
      <c r="F10" s="213" t="str">
        <f>INDEX(Q4_Paeds,5,7)</f>
        <v>No data</v>
      </c>
      <c r="G10" s="220" t="str">
        <f>INDEX(Q4_Paeds,5,8)</f>
        <v>No data</v>
      </c>
      <c r="H10" s="210" t="str">
        <f>INDEX(Q4_Paeds,5,9)</f>
        <v>No data</v>
      </c>
      <c r="I10" s="200">
        <f>IFERROR(H10/P10,0)</f>
        <v>0</v>
      </c>
      <c r="J10" s="201" t="str">
        <f>INDEX(Q4_Paeds,5,10)</f>
        <v>No data</v>
      </c>
      <c r="K10" s="200">
        <f>IFERROR(J10/P10,0)</f>
        <v>0</v>
      </c>
      <c r="L10" s="201" t="str">
        <f>INDEX(Q4_Paeds,5,11)</f>
        <v>No data</v>
      </c>
      <c r="M10" s="200">
        <f>IFERROR(L10/P10,0)</f>
        <v>0</v>
      </c>
      <c r="N10" s="201" t="str">
        <f>INDEX(Q4_Paeds,5,12)</f>
        <v>No data</v>
      </c>
      <c r="O10" s="200">
        <f>IFERROR(N10/P10,0)</f>
        <v>0</v>
      </c>
      <c r="P10" s="202" t="str">
        <f>INDEX(Q4_Paeds,5,13)</f>
        <v>No data</v>
      </c>
      <c r="Q10" s="199" t="str">
        <f>INDEX(Q4_Paeds,5,15)</f>
        <v>No data</v>
      </c>
      <c r="R10" s="200">
        <f>IFERROR(Q10/Y10,0)</f>
        <v>0</v>
      </c>
      <c r="S10" s="201" t="str">
        <f>INDEX(Q4_Paeds,5,16)</f>
        <v>No data</v>
      </c>
      <c r="T10" s="200">
        <f>IFERROR(S10/Y10,0)</f>
        <v>0</v>
      </c>
      <c r="U10" s="203" t="str">
        <f>INDEX(Q4_Paeds,5,17)</f>
        <v>No data</v>
      </c>
      <c r="V10" s="200">
        <f>IFERROR(U10/Y10,0)</f>
        <v>0</v>
      </c>
      <c r="W10" s="201" t="str">
        <f>INDEX(Q4_Paeds,5,18)</f>
        <v>No data</v>
      </c>
      <c r="X10" s="200">
        <f>IFERROR(W10/Y10,0)</f>
        <v>0</v>
      </c>
      <c r="Y10" s="202" t="str">
        <f>INDEX(Q4_Paeds,5,19)</f>
        <v>No data</v>
      </c>
      <c r="Z10" s="214" t="str">
        <f>INDEX(Q4_Paeds,5,21)</f>
        <v>No data</v>
      </c>
      <c r="AA10" s="215" t="str">
        <f>INDEX(Q4_Paeds,5,22)</f>
        <v>No data</v>
      </c>
    </row>
    <row r="11" spans="1:28" s="8" customFormat="1" ht="21.75" customHeight="1" thickTop="1" thickBot="1" x14ac:dyDescent="0.35">
      <c r="B11" s="29" t="s">
        <v>159</v>
      </c>
      <c r="C11" s="29" t="s">
        <v>23</v>
      </c>
      <c r="D11" s="60">
        <v>3</v>
      </c>
      <c r="E11" s="29" t="s">
        <v>22</v>
      </c>
      <c r="F11" s="216" t="str">
        <f>INDEX(Q4_Paeds,7,7)</f>
        <v>No data</v>
      </c>
      <c r="G11" s="217" t="str">
        <f>INDEX(Q4_Paeds,7,8)</f>
        <v>No data</v>
      </c>
      <c r="H11" s="204" t="str">
        <f>INDEX(Q4_Paeds,7,9)</f>
        <v>No data</v>
      </c>
      <c r="I11" s="205">
        <f t="shared" ref="I11:I25" si="0">IFERROR(H11/P11,0)</f>
        <v>0</v>
      </c>
      <c r="J11" s="206" t="str">
        <f>INDEX(Q4_Paeds,7,10)</f>
        <v>No data</v>
      </c>
      <c r="K11" s="205">
        <f t="shared" ref="K11:K25" si="1">IFERROR(J11/P11,0)</f>
        <v>0</v>
      </c>
      <c r="L11" s="206" t="str">
        <f>INDEX(Q4_Paeds,7,11)</f>
        <v>No data</v>
      </c>
      <c r="M11" s="205">
        <f t="shared" ref="M11:M25" si="2">IFERROR(L11/P11,0)</f>
        <v>0</v>
      </c>
      <c r="N11" s="206" t="str">
        <f>INDEX(Q4_Paeds,7,12)</f>
        <v>No data</v>
      </c>
      <c r="O11" s="205">
        <f t="shared" ref="O11:O25" si="3">IFERROR(N11/P11,0)</f>
        <v>0</v>
      </c>
      <c r="P11" s="207" t="str">
        <f>INDEX(Q4_Paeds,7,13)</f>
        <v>No data</v>
      </c>
      <c r="Q11" s="208" t="str">
        <f>INDEX(Q4_Paeds,7,15)</f>
        <v>No data</v>
      </c>
      <c r="R11" s="205">
        <f t="shared" ref="R11:R25" si="4">IFERROR(Q11/Y11,0)</f>
        <v>0</v>
      </c>
      <c r="S11" s="206" t="str">
        <f>INDEX(Q4_Paeds,7,16)</f>
        <v>No data</v>
      </c>
      <c r="T11" s="205">
        <f t="shared" ref="T11:T25" si="5">IFERROR(S11/Y11,0)</f>
        <v>0</v>
      </c>
      <c r="U11" s="209" t="str">
        <f>INDEX(Q4_Paeds,7,17)</f>
        <v>No data</v>
      </c>
      <c r="V11" s="205">
        <f t="shared" ref="V11:V25" si="6">IFERROR(U11/Y11,0)</f>
        <v>0</v>
      </c>
      <c r="W11" s="206" t="str">
        <f>INDEX(Q4_Paeds,7,18)</f>
        <v>No data</v>
      </c>
      <c r="X11" s="205">
        <f t="shared" ref="X11:X25" si="7">IFERROR(W11/Y11,0)</f>
        <v>0</v>
      </c>
      <c r="Y11" s="207" t="str">
        <f>INDEX(Q4_Paeds,7,19)</f>
        <v>No data</v>
      </c>
      <c r="Z11" s="218" t="str">
        <f>INDEX(Q4_Paeds,7,21)</f>
        <v>No data</v>
      </c>
      <c r="AA11" s="219" t="str">
        <f>INDEX(Q4_Paeds,7,22)</f>
        <v>No data</v>
      </c>
    </row>
    <row r="12" spans="1:28" s="8" customFormat="1" ht="21.75" customHeight="1" thickTop="1" thickBot="1" x14ac:dyDescent="0.35">
      <c r="B12" s="27" t="s">
        <v>160</v>
      </c>
      <c r="C12" s="27" t="s">
        <v>23</v>
      </c>
      <c r="D12" s="58">
        <v>3</v>
      </c>
      <c r="E12" s="27" t="s">
        <v>22</v>
      </c>
      <c r="F12" s="213" t="str">
        <f>INDEX(Q4_Paeds,8,7)</f>
        <v>No data</v>
      </c>
      <c r="G12" s="220" t="str">
        <f>INDEX(Q4_Paeds,8,8)</f>
        <v>No data</v>
      </c>
      <c r="H12" s="210" t="str">
        <f>INDEX(Q4_Paeds,8,9)</f>
        <v>No data</v>
      </c>
      <c r="I12" s="200">
        <f t="shared" si="0"/>
        <v>0</v>
      </c>
      <c r="J12" s="201" t="str">
        <f>INDEX(Q4_Paeds,8,10)</f>
        <v>No data</v>
      </c>
      <c r="K12" s="200">
        <f t="shared" si="1"/>
        <v>0</v>
      </c>
      <c r="L12" s="201" t="str">
        <f>INDEX(Q4_Paeds,8,11)</f>
        <v>No data</v>
      </c>
      <c r="M12" s="200">
        <f t="shared" si="2"/>
        <v>0</v>
      </c>
      <c r="N12" s="201" t="str">
        <f>INDEX(Q4_Paeds,8,12)</f>
        <v>No data</v>
      </c>
      <c r="O12" s="200">
        <f t="shared" si="3"/>
        <v>0</v>
      </c>
      <c r="P12" s="202" t="str">
        <f>INDEX(Q4_Paeds,8,13)</f>
        <v>No data</v>
      </c>
      <c r="Q12" s="199" t="str">
        <f>INDEX(Q4_Paeds,8,15)</f>
        <v>No data</v>
      </c>
      <c r="R12" s="200">
        <f t="shared" si="4"/>
        <v>0</v>
      </c>
      <c r="S12" s="201" t="str">
        <f>INDEX(Q4_Paeds,8,16)</f>
        <v>No data</v>
      </c>
      <c r="T12" s="200">
        <f t="shared" si="5"/>
        <v>0</v>
      </c>
      <c r="U12" s="203" t="str">
        <f>INDEX(Q4_Paeds,8,17)</f>
        <v>No data</v>
      </c>
      <c r="V12" s="200">
        <f t="shared" si="6"/>
        <v>0</v>
      </c>
      <c r="W12" s="201" t="str">
        <f>INDEX(Q4_Paeds,8,18)</f>
        <v>No data</v>
      </c>
      <c r="X12" s="200">
        <f t="shared" si="7"/>
        <v>0</v>
      </c>
      <c r="Y12" s="202" t="str">
        <f>INDEX(Q4_Paeds,8,19)</f>
        <v>No data</v>
      </c>
      <c r="Z12" s="214" t="str">
        <f>INDEX(Q4_Paeds,8,21)</f>
        <v>No data</v>
      </c>
      <c r="AA12" s="215" t="str">
        <f>INDEX(Q4_Paeds,8,22)</f>
        <v>No data</v>
      </c>
    </row>
    <row r="13" spans="1:28" s="8" customFormat="1" ht="21.75" customHeight="1" thickTop="1" thickBot="1" x14ac:dyDescent="0.35">
      <c r="B13" s="28" t="s">
        <v>161</v>
      </c>
      <c r="C13" s="28" t="s">
        <v>23</v>
      </c>
      <c r="D13" s="59">
        <v>3</v>
      </c>
      <c r="E13" s="28" t="s">
        <v>22</v>
      </c>
      <c r="F13" s="216" t="str">
        <f>INDEX(Q4_Paeds,9,7)</f>
        <v>No data</v>
      </c>
      <c r="G13" s="217" t="str">
        <f>INDEX(Q4_Paeds,9,8)</f>
        <v>No data</v>
      </c>
      <c r="H13" s="204" t="str">
        <f>INDEX(Q4_Paeds,9,9)</f>
        <v>No data</v>
      </c>
      <c r="I13" s="205">
        <f t="shared" si="0"/>
        <v>0</v>
      </c>
      <c r="J13" s="206" t="str">
        <f>INDEX(Q4_Paeds,9,10)</f>
        <v>No data</v>
      </c>
      <c r="K13" s="205">
        <f t="shared" si="1"/>
        <v>0</v>
      </c>
      <c r="L13" s="206" t="str">
        <f>INDEX(Q4_Paeds,9,11)</f>
        <v>No data</v>
      </c>
      <c r="M13" s="205">
        <f t="shared" si="2"/>
        <v>0</v>
      </c>
      <c r="N13" s="206" t="str">
        <f>INDEX(Q4_Paeds,9,12)</f>
        <v>No data</v>
      </c>
      <c r="O13" s="205">
        <f t="shared" si="3"/>
        <v>0</v>
      </c>
      <c r="P13" s="207" t="str">
        <f>INDEX(Q4_Paeds,9,13)</f>
        <v>No data</v>
      </c>
      <c r="Q13" s="208" t="str">
        <f>INDEX(Q4_Paeds,9,15)</f>
        <v>No data</v>
      </c>
      <c r="R13" s="205">
        <f t="shared" si="4"/>
        <v>0</v>
      </c>
      <c r="S13" s="206" t="str">
        <f>INDEX(Q4_Paeds,9,16)</f>
        <v>No data</v>
      </c>
      <c r="T13" s="205">
        <f t="shared" si="5"/>
        <v>0</v>
      </c>
      <c r="U13" s="209" t="str">
        <f>INDEX(Q4_Paeds,9,17)</f>
        <v>No data</v>
      </c>
      <c r="V13" s="205">
        <f t="shared" si="6"/>
        <v>0</v>
      </c>
      <c r="W13" s="206" t="str">
        <f>INDEX(Q4_Paeds,9,18)</f>
        <v>No data</v>
      </c>
      <c r="X13" s="205">
        <f t="shared" si="7"/>
        <v>0</v>
      </c>
      <c r="Y13" s="207" t="str">
        <f>INDEX(Q4_Paeds,9,19)</f>
        <v>No data</v>
      </c>
      <c r="Z13" s="218" t="str">
        <f>INDEX(Q4_Paeds,9,21)</f>
        <v>No data</v>
      </c>
      <c r="AA13" s="219" t="str">
        <f>INDEX(Q4_Paeds,9,22)</f>
        <v>No data</v>
      </c>
    </row>
    <row r="14" spans="1:28" s="8" customFormat="1" ht="21.75" customHeight="1" thickTop="1" thickBot="1" x14ac:dyDescent="0.35">
      <c r="B14" s="27" t="s">
        <v>165</v>
      </c>
      <c r="C14" s="27" t="s">
        <v>23</v>
      </c>
      <c r="D14" s="58">
        <v>3</v>
      </c>
      <c r="E14" s="27" t="s">
        <v>22</v>
      </c>
      <c r="F14" s="213" t="str">
        <f>INDEX(Q4_Paeds,10,7)</f>
        <v>No data</v>
      </c>
      <c r="G14" s="220" t="str">
        <f>INDEX(Q4_Paeds,10,8)</f>
        <v>No data</v>
      </c>
      <c r="H14" s="210" t="str">
        <f>INDEX(Q4_Paeds,10,9)</f>
        <v>No data</v>
      </c>
      <c r="I14" s="200">
        <f t="shared" si="0"/>
        <v>0</v>
      </c>
      <c r="J14" s="201" t="str">
        <f>INDEX(Q4_Paeds,10,10)</f>
        <v>No data</v>
      </c>
      <c r="K14" s="200">
        <f t="shared" si="1"/>
        <v>0</v>
      </c>
      <c r="L14" s="201" t="str">
        <f>INDEX(Q4_Paeds,10,11)</f>
        <v>No data</v>
      </c>
      <c r="M14" s="200">
        <f t="shared" si="2"/>
        <v>0</v>
      </c>
      <c r="N14" s="201" t="str">
        <f>INDEX(Q4_Paeds,10,12)</f>
        <v>No data</v>
      </c>
      <c r="O14" s="200">
        <f t="shared" si="3"/>
        <v>0</v>
      </c>
      <c r="P14" s="202" t="str">
        <f>INDEX(Q4_Paeds,10,13)</f>
        <v>No data</v>
      </c>
      <c r="Q14" s="199" t="str">
        <f>INDEX(Q4_Paeds,10,15)</f>
        <v>No data</v>
      </c>
      <c r="R14" s="200">
        <f t="shared" si="4"/>
        <v>0</v>
      </c>
      <c r="S14" s="201" t="str">
        <f>INDEX(Q4_Paeds,10,16)</f>
        <v>No data</v>
      </c>
      <c r="T14" s="200">
        <f t="shared" si="5"/>
        <v>0</v>
      </c>
      <c r="U14" s="203" t="str">
        <f>INDEX(Q4_Paeds,10,17)</f>
        <v>No data</v>
      </c>
      <c r="V14" s="200">
        <f t="shared" si="6"/>
        <v>0</v>
      </c>
      <c r="W14" s="201" t="str">
        <f>INDEX(Q4_Paeds,10,18)</f>
        <v>No data</v>
      </c>
      <c r="X14" s="200">
        <f t="shared" si="7"/>
        <v>0</v>
      </c>
      <c r="Y14" s="202" t="str">
        <f>INDEX(Q4_Paeds,10,19)</f>
        <v>No data</v>
      </c>
      <c r="Z14" s="214" t="str">
        <f>INDEX(Q4_Paeds,10,21)</f>
        <v>No data</v>
      </c>
      <c r="AA14" s="215" t="str">
        <f>INDEX(Q4_Paeds,10,22)</f>
        <v>No data</v>
      </c>
    </row>
    <row r="15" spans="1:28" s="8" customFormat="1" ht="21.75" customHeight="1" thickTop="1" thickBot="1" x14ac:dyDescent="0.35">
      <c r="B15" s="28" t="s">
        <v>166</v>
      </c>
      <c r="C15" s="28" t="s">
        <v>23</v>
      </c>
      <c r="D15" s="59">
        <v>3</v>
      </c>
      <c r="E15" s="28" t="s">
        <v>22</v>
      </c>
      <c r="F15" s="216" t="str">
        <f>INDEX(Q4_Paeds,11,7)</f>
        <v>No data</v>
      </c>
      <c r="G15" s="217" t="str">
        <f>INDEX(Q4_Paeds,11,8)</f>
        <v>No data</v>
      </c>
      <c r="H15" s="204" t="str">
        <f>INDEX(Q4_Paeds,11,9)</f>
        <v>No data</v>
      </c>
      <c r="I15" s="205">
        <f t="shared" si="0"/>
        <v>0</v>
      </c>
      <c r="J15" s="206" t="str">
        <f>INDEX(Q4_Paeds,11,10)</f>
        <v>No data</v>
      </c>
      <c r="K15" s="205">
        <f t="shared" si="1"/>
        <v>0</v>
      </c>
      <c r="L15" s="206" t="str">
        <f>INDEX(Q4_Paeds,11,11)</f>
        <v>No data</v>
      </c>
      <c r="M15" s="205">
        <f t="shared" si="2"/>
        <v>0</v>
      </c>
      <c r="N15" s="206" t="str">
        <f>INDEX(Q4_Paeds,11,12)</f>
        <v>No data</v>
      </c>
      <c r="O15" s="205">
        <f t="shared" si="3"/>
        <v>0</v>
      </c>
      <c r="P15" s="207" t="str">
        <f>INDEX(Q4_Paeds,11,13)</f>
        <v>No data</v>
      </c>
      <c r="Q15" s="208" t="str">
        <f>INDEX(Q4_Paeds,11,15)</f>
        <v>No data</v>
      </c>
      <c r="R15" s="205">
        <f t="shared" si="4"/>
        <v>0</v>
      </c>
      <c r="S15" s="206" t="str">
        <f>INDEX(Q4_Paeds,11,16)</f>
        <v>No data</v>
      </c>
      <c r="T15" s="205">
        <f t="shared" si="5"/>
        <v>0</v>
      </c>
      <c r="U15" s="209" t="str">
        <f>INDEX(Q4_Paeds,11,17)</f>
        <v>No data</v>
      </c>
      <c r="V15" s="205">
        <f t="shared" si="6"/>
        <v>0</v>
      </c>
      <c r="W15" s="206" t="str">
        <f>INDEX(Q4_Paeds,11,18)</f>
        <v>No data</v>
      </c>
      <c r="X15" s="205">
        <f t="shared" si="7"/>
        <v>0</v>
      </c>
      <c r="Y15" s="207" t="str">
        <f>INDEX(Q4_Paeds,11,19)</f>
        <v>No data</v>
      </c>
      <c r="Z15" s="218" t="str">
        <f>INDEX(Q4_Paeds,11,21)</f>
        <v>No data</v>
      </c>
      <c r="AA15" s="219" t="str">
        <f>INDEX(Q4_Paeds,11,22)</f>
        <v>No data</v>
      </c>
    </row>
    <row r="16" spans="1:28" s="8" customFormat="1" ht="21.75" customHeight="1" thickTop="1" thickBot="1" x14ac:dyDescent="0.35">
      <c r="B16" s="30" t="s">
        <v>162</v>
      </c>
      <c r="C16" s="30" t="s">
        <v>23</v>
      </c>
      <c r="D16" s="61">
        <v>3</v>
      </c>
      <c r="E16" s="30" t="s">
        <v>22</v>
      </c>
      <c r="F16" s="213" t="str">
        <f>INDEX(Q4_Paeds,12,7)</f>
        <v>No data</v>
      </c>
      <c r="G16" s="220" t="str">
        <f>INDEX(Q4_Paeds,12,8)</f>
        <v>No data</v>
      </c>
      <c r="H16" s="210" t="str">
        <f>INDEX(Q4_Paeds,12,9)</f>
        <v>No data</v>
      </c>
      <c r="I16" s="200">
        <f t="shared" si="0"/>
        <v>0</v>
      </c>
      <c r="J16" s="201" t="str">
        <f>INDEX(Q4_Paeds,12,10)</f>
        <v>No data</v>
      </c>
      <c r="K16" s="200">
        <f t="shared" si="1"/>
        <v>0</v>
      </c>
      <c r="L16" s="201" t="str">
        <f>INDEX(Q4_Paeds,12,11)</f>
        <v>No data</v>
      </c>
      <c r="M16" s="200">
        <f t="shared" si="2"/>
        <v>0</v>
      </c>
      <c r="N16" s="201" t="str">
        <f>INDEX(Q4_Paeds,12,12)</f>
        <v>No data</v>
      </c>
      <c r="O16" s="200">
        <f t="shared" si="3"/>
        <v>0</v>
      </c>
      <c r="P16" s="202" t="str">
        <f>INDEX(Q4_Paeds,12,13)</f>
        <v>No data</v>
      </c>
      <c r="Q16" s="199" t="str">
        <f>INDEX(Q4_Paeds,12,15)</f>
        <v>No data</v>
      </c>
      <c r="R16" s="200">
        <f t="shared" si="4"/>
        <v>0</v>
      </c>
      <c r="S16" s="201" t="str">
        <f>INDEX(Q4_Paeds,12,16)</f>
        <v>No data</v>
      </c>
      <c r="T16" s="200">
        <f t="shared" si="5"/>
        <v>0</v>
      </c>
      <c r="U16" s="203" t="str">
        <f>INDEX(Q4_Paeds,12,17)</f>
        <v>No data</v>
      </c>
      <c r="V16" s="200">
        <f t="shared" si="6"/>
        <v>0</v>
      </c>
      <c r="W16" s="201" t="str">
        <f>INDEX(Q4_Paeds,12,18)</f>
        <v>No data</v>
      </c>
      <c r="X16" s="200">
        <f t="shared" si="7"/>
        <v>0</v>
      </c>
      <c r="Y16" s="202" t="str">
        <f>INDEX(Q4_Paeds,12,19)</f>
        <v>No data</v>
      </c>
      <c r="Z16" s="214" t="str">
        <f>INDEX(Q4_Paeds,12,21)</f>
        <v>No data</v>
      </c>
      <c r="AA16" s="215" t="str">
        <f>INDEX(Q4_Paeds,12,22)</f>
        <v>No data</v>
      </c>
    </row>
    <row r="17" spans="2:27" s="8" customFormat="1" ht="21.75" customHeight="1" thickTop="1" thickBot="1" x14ac:dyDescent="0.35">
      <c r="B17" s="28" t="s">
        <v>58</v>
      </c>
      <c r="C17" s="28" t="s">
        <v>23</v>
      </c>
      <c r="D17" s="59">
        <v>3</v>
      </c>
      <c r="E17" s="28" t="s">
        <v>21</v>
      </c>
      <c r="F17" s="216" t="str">
        <f>INDEX(Q4_Paeds,13,7)</f>
        <v>No data</v>
      </c>
      <c r="G17" s="217" t="str">
        <f>INDEX(Q4_Paeds,13,8)</f>
        <v>No data</v>
      </c>
      <c r="H17" s="204" t="str">
        <f>INDEX(Q4_Paeds,13,9)</f>
        <v>No data</v>
      </c>
      <c r="I17" s="205">
        <f t="shared" si="0"/>
        <v>0</v>
      </c>
      <c r="J17" s="206" t="str">
        <f>INDEX(Q4_Paeds,13,10)</f>
        <v>No data</v>
      </c>
      <c r="K17" s="205">
        <f t="shared" si="1"/>
        <v>0</v>
      </c>
      <c r="L17" s="206" t="str">
        <f>INDEX(Q4_Paeds,13,11)</f>
        <v>No data</v>
      </c>
      <c r="M17" s="205">
        <f t="shared" si="2"/>
        <v>0</v>
      </c>
      <c r="N17" s="206" t="str">
        <f>INDEX(Q4_Paeds,13,12)</f>
        <v>No data</v>
      </c>
      <c r="O17" s="205">
        <f t="shared" si="3"/>
        <v>0</v>
      </c>
      <c r="P17" s="207" t="str">
        <f>INDEX(Q4_Paeds,13,13)</f>
        <v>No data</v>
      </c>
      <c r="Q17" s="208" t="str">
        <f>INDEX(Q4_Paeds,13,15)</f>
        <v>No data</v>
      </c>
      <c r="R17" s="205">
        <f t="shared" si="4"/>
        <v>0</v>
      </c>
      <c r="S17" s="206" t="str">
        <f>INDEX(Q4_Paeds,13,16)</f>
        <v>No data</v>
      </c>
      <c r="T17" s="205">
        <f t="shared" si="5"/>
        <v>0</v>
      </c>
      <c r="U17" s="209" t="str">
        <f>INDEX(Q4_Paeds,13,17)</f>
        <v>No data</v>
      </c>
      <c r="V17" s="205">
        <f t="shared" si="6"/>
        <v>0</v>
      </c>
      <c r="W17" s="206" t="str">
        <f>INDEX(Q4_Paeds,13,18)</f>
        <v>No data</v>
      </c>
      <c r="X17" s="205">
        <f t="shared" si="7"/>
        <v>0</v>
      </c>
      <c r="Y17" s="207" t="str">
        <f>INDEX(Q4_Paeds,13,19)</f>
        <v>No data</v>
      </c>
      <c r="Z17" s="218" t="str">
        <f>INDEX(Q4_Paeds,13,21)</f>
        <v>No data</v>
      </c>
      <c r="AA17" s="219" t="str">
        <f>INDEX(Q4_Paeds,13,22)</f>
        <v>No data</v>
      </c>
    </row>
    <row r="18" spans="2:27" s="8" customFormat="1" ht="21.75" customHeight="1" thickTop="1" thickBot="1" x14ac:dyDescent="0.35">
      <c r="B18" s="27" t="s">
        <v>59</v>
      </c>
      <c r="C18" s="27" t="s">
        <v>23</v>
      </c>
      <c r="D18" s="58">
        <v>3</v>
      </c>
      <c r="E18" s="27" t="s">
        <v>21</v>
      </c>
      <c r="F18" s="213" t="str">
        <f>INDEX(Q4_Paeds,14,7)</f>
        <v>No data</v>
      </c>
      <c r="G18" s="220" t="str">
        <f>INDEX(Q4_Paeds,14,8)</f>
        <v>No data</v>
      </c>
      <c r="H18" s="210" t="str">
        <f>INDEX(Q4_Paeds,14,9)</f>
        <v>No data</v>
      </c>
      <c r="I18" s="200">
        <f t="shared" si="0"/>
        <v>0</v>
      </c>
      <c r="J18" s="201" t="str">
        <f>INDEX(Q4_Paeds,14,10)</f>
        <v>No data</v>
      </c>
      <c r="K18" s="200">
        <f t="shared" si="1"/>
        <v>0</v>
      </c>
      <c r="L18" s="201" t="str">
        <f>INDEX(Q4_Paeds,14,11)</f>
        <v>No data</v>
      </c>
      <c r="M18" s="200">
        <f t="shared" si="2"/>
        <v>0</v>
      </c>
      <c r="N18" s="201" t="str">
        <f>INDEX(Q4_Paeds,14,12)</f>
        <v>No data</v>
      </c>
      <c r="O18" s="200">
        <f t="shared" si="3"/>
        <v>0</v>
      </c>
      <c r="P18" s="202" t="str">
        <f>INDEX(Q4_Paeds,14,13)</f>
        <v>No data</v>
      </c>
      <c r="Q18" s="199" t="str">
        <f>INDEX(Q4_Paeds,14,15)</f>
        <v>No data</v>
      </c>
      <c r="R18" s="200">
        <f t="shared" si="4"/>
        <v>0</v>
      </c>
      <c r="S18" s="201" t="str">
        <f>INDEX(Q4_Paeds,14,16)</f>
        <v>No data</v>
      </c>
      <c r="T18" s="200">
        <f t="shared" si="5"/>
        <v>0</v>
      </c>
      <c r="U18" s="203" t="str">
        <f>INDEX(Q4_Paeds,14,17)</f>
        <v>No data</v>
      </c>
      <c r="V18" s="200">
        <f t="shared" si="6"/>
        <v>0</v>
      </c>
      <c r="W18" s="201" t="str">
        <f>INDEX(Q4_Paeds,14,18)</f>
        <v>No data</v>
      </c>
      <c r="X18" s="200">
        <f t="shared" si="7"/>
        <v>0</v>
      </c>
      <c r="Y18" s="202" t="str">
        <f>INDEX(Q4_Paeds,14,19)</f>
        <v>No data</v>
      </c>
      <c r="Z18" s="214" t="str">
        <f>INDEX(Q4_Paeds,14,21)</f>
        <v>No data</v>
      </c>
      <c r="AA18" s="215" t="str">
        <f>INDEX(Q4_Paeds,14,22)</f>
        <v>No data</v>
      </c>
    </row>
    <row r="19" spans="2:27" s="8" customFormat="1" ht="21.75" customHeight="1" thickTop="1" thickBot="1" x14ac:dyDescent="0.35">
      <c r="B19" s="28" t="s">
        <v>60</v>
      </c>
      <c r="C19" s="28" t="s">
        <v>23</v>
      </c>
      <c r="D19" s="59">
        <v>3</v>
      </c>
      <c r="E19" s="28" t="s">
        <v>21</v>
      </c>
      <c r="F19" s="216" t="str">
        <f>INDEX(Q4_Paeds,16,7)</f>
        <v>No data</v>
      </c>
      <c r="G19" s="217" t="str">
        <f>INDEX(Q4_Paeds,16,8)</f>
        <v>No data</v>
      </c>
      <c r="H19" s="204" t="str">
        <f>INDEX(Q4_Paeds,16,9)</f>
        <v>No data</v>
      </c>
      <c r="I19" s="205">
        <f t="shared" si="0"/>
        <v>0</v>
      </c>
      <c r="J19" s="206" t="str">
        <f>INDEX(Q4_Paeds,16,10)</f>
        <v>No data</v>
      </c>
      <c r="K19" s="205">
        <f t="shared" si="1"/>
        <v>0</v>
      </c>
      <c r="L19" s="206" t="str">
        <f>INDEX(Q4_Paeds,16,11)</f>
        <v>No data</v>
      </c>
      <c r="M19" s="205">
        <f t="shared" si="2"/>
        <v>0</v>
      </c>
      <c r="N19" s="206" t="str">
        <f>INDEX(Q4_Paeds,16,12)</f>
        <v>No data</v>
      </c>
      <c r="O19" s="205">
        <f t="shared" si="3"/>
        <v>0</v>
      </c>
      <c r="P19" s="207" t="str">
        <f>INDEX(Q4_Paeds,16,13)</f>
        <v>No data</v>
      </c>
      <c r="Q19" s="208" t="str">
        <f>INDEX(Q4_Paeds,16,15)</f>
        <v>No data</v>
      </c>
      <c r="R19" s="205">
        <f t="shared" si="4"/>
        <v>0</v>
      </c>
      <c r="S19" s="206" t="str">
        <f>INDEX(Q4_Paeds,16,16)</f>
        <v>No data</v>
      </c>
      <c r="T19" s="205">
        <f t="shared" si="5"/>
        <v>0</v>
      </c>
      <c r="U19" s="209" t="str">
        <f>INDEX(Q4_Paeds,16,17)</f>
        <v>No data</v>
      </c>
      <c r="V19" s="205">
        <f t="shared" si="6"/>
        <v>0</v>
      </c>
      <c r="W19" s="206" t="str">
        <f>INDEX(Q4_Paeds,16,18)</f>
        <v>No data</v>
      </c>
      <c r="X19" s="205">
        <f t="shared" si="7"/>
        <v>0</v>
      </c>
      <c r="Y19" s="207" t="str">
        <f>INDEX(Q4_Paeds,16,19)</f>
        <v>No data</v>
      </c>
      <c r="Z19" s="218" t="str">
        <f>INDEX(Q4_Paeds,16,21)</f>
        <v>No data</v>
      </c>
      <c r="AA19" s="219" t="str">
        <f>INDEX(Q4_Paeds,16,22)</f>
        <v>No data</v>
      </c>
    </row>
    <row r="20" spans="2:27" s="8" customFormat="1" ht="21.75" customHeight="1" thickTop="1" thickBot="1" x14ac:dyDescent="0.35">
      <c r="B20" s="27" t="s">
        <v>56</v>
      </c>
      <c r="C20" s="27" t="s">
        <v>23</v>
      </c>
      <c r="D20" s="58">
        <v>3</v>
      </c>
      <c r="E20" s="27" t="s">
        <v>21</v>
      </c>
      <c r="F20" s="213" t="str">
        <f>INDEX(Q4_Paeds,17,7)</f>
        <v>No data</v>
      </c>
      <c r="G20" s="220" t="str">
        <f>INDEX(Q4_Paeds,17,8)</f>
        <v>No data</v>
      </c>
      <c r="H20" s="210" t="str">
        <f>INDEX(Q4_Paeds,17,9)</f>
        <v>No data</v>
      </c>
      <c r="I20" s="200">
        <f t="shared" si="0"/>
        <v>0</v>
      </c>
      <c r="J20" s="201" t="str">
        <f>INDEX(Q4_Paeds,17,10)</f>
        <v>No data</v>
      </c>
      <c r="K20" s="200">
        <f t="shared" si="1"/>
        <v>0</v>
      </c>
      <c r="L20" s="201" t="str">
        <f>INDEX(Q4_Paeds,17,11)</f>
        <v>No data</v>
      </c>
      <c r="M20" s="200">
        <f t="shared" si="2"/>
        <v>0</v>
      </c>
      <c r="N20" s="201" t="str">
        <f>INDEX(Q4_Paeds,17,12)</f>
        <v>No data</v>
      </c>
      <c r="O20" s="200">
        <f t="shared" si="3"/>
        <v>0</v>
      </c>
      <c r="P20" s="202" t="str">
        <f>INDEX(Q4_Paeds,17,13)</f>
        <v>No data</v>
      </c>
      <c r="Q20" s="199" t="str">
        <f>INDEX(Q4_Paeds,17,15)</f>
        <v>No data</v>
      </c>
      <c r="R20" s="200">
        <f t="shared" si="4"/>
        <v>0</v>
      </c>
      <c r="S20" s="201" t="str">
        <f>INDEX(Q4_Paeds,17,16)</f>
        <v>No data</v>
      </c>
      <c r="T20" s="200">
        <f t="shared" si="5"/>
        <v>0</v>
      </c>
      <c r="U20" s="203" t="str">
        <f>INDEX(Q4_Paeds,17,17)</f>
        <v>No data</v>
      </c>
      <c r="V20" s="200">
        <f t="shared" si="6"/>
        <v>0</v>
      </c>
      <c r="W20" s="201" t="str">
        <f>INDEX(Q4_Paeds,17,18)</f>
        <v>No data</v>
      </c>
      <c r="X20" s="200">
        <f t="shared" si="7"/>
        <v>0</v>
      </c>
      <c r="Y20" s="202" t="str">
        <f>INDEX(Q4_Paeds,17,19)</f>
        <v>No data</v>
      </c>
      <c r="Z20" s="214" t="str">
        <f>INDEX(Q4_Paeds,17,21)</f>
        <v>No data</v>
      </c>
      <c r="AA20" s="215" t="str">
        <f>INDEX(Q4_Paeds,17,22)</f>
        <v>No data</v>
      </c>
    </row>
    <row r="21" spans="2:27" s="8" customFormat="1" ht="21.75" customHeight="1" thickTop="1" thickBot="1" x14ac:dyDescent="0.35">
      <c r="B21" s="28" t="s">
        <v>61</v>
      </c>
      <c r="C21" s="28" t="s">
        <v>23</v>
      </c>
      <c r="D21" s="59">
        <v>3</v>
      </c>
      <c r="E21" s="28" t="s">
        <v>21</v>
      </c>
      <c r="F21" s="216" t="str">
        <f>INDEX(Q4_Paeds,18,7)</f>
        <v>No data</v>
      </c>
      <c r="G21" s="217" t="str">
        <f>INDEX(Q4_Paeds,18,8)</f>
        <v>No data</v>
      </c>
      <c r="H21" s="204" t="str">
        <f>INDEX(Q4_Paeds,18,9)</f>
        <v>No data</v>
      </c>
      <c r="I21" s="205">
        <f t="shared" si="0"/>
        <v>0</v>
      </c>
      <c r="J21" s="206" t="str">
        <f>INDEX(Q4_Paeds,18,10)</f>
        <v>No data</v>
      </c>
      <c r="K21" s="205">
        <f t="shared" si="1"/>
        <v>0</v>
      </c>
      <c r="L21" s="206" t="str">
        <f>INDEX(Q4_Paeds,18,11)</f>
        <v>No data</v>
      </c>
      <c r="M21" s="205">
        <f t="shared" si="2"/>
        <v>0</v>
      </c>
      <c r="N21" s="206" t="str">
        <f>INDEX(Q4_Paeds,18,12)</f>
        <v>No data</v>
      </c>
      <c r="O21" s="205">
        <f t="shared" si="3"/>
        <v>0</v>
      </c>
      <c r="P21" s="207" t="str">
        <f>INDEX(Q4_Paeds,18,13)</f>
        <v>No data</v>
      </c>
      <c r="Q21" s="208" t="str">
        <f>INDEX(Q4_Paeds,18,15)</f>
        <v>No data</v>
      </c>
      <c r="R21" s="205">
        <f t="shared" si="4"/>
        <v>0</v>
      </c>
      <c r="S21" s="206" t="str">
        <f>INDEX(Q4_Paeds,18,16)</f>
        <v>No data</v>
      </c>
      <c r="T21" s="205">
        <f t="shared" si="5"/>
        <v>0</v>
      </c>
      <c r="U21" s="209" t="str">
        <f>INDEX(Q4_Paeds,18,17)</f>
        <v>No data</v>
      </c>
      <c r="V21" s="205">
        <f t="shared" si="6"/>
        <v>0</v>
      </c>
      <c r="W21" s="206" t="str">
        <f>INDEX(Q4_Paeds,18,18)</f>
        <v>No data</v>
      </c>
      <c r="X21" s="205">
        <f t="shared" si="7"/>
        <v>0</v>
      </c>
      <c r="Y21" s="207" t="str">
        <f>INDEX(Q4_Paeds,18,19)</f>
        <v>No data</v>
      </c>
      <c r="Z21" s="218" t="str">
        <f>INDEX(Q4_Paeds,18,21)</f>
        <v>No data</v>
      </c>
      <c r="AA21" s="219" t="str">
        <f>INDEX(Q4_Paeds,18,22)</f>
        <v>No data</v>
      </c>
    </row>
    <row r="22" spans="2:27" s="8" customFormat="1" ht="21.75" customHeight="1" thickTop="1" thickBot="1" x14ac:dyDescent="0.35">
      <c r="B22" s="30" t="s">
        <v>52</v>
      </c>
      <c r="C22" s="30" t="s">
        <v>23</v>
      </c>
      <c r="D22" s="61">
        <v>3</v>
      </c>
      <c r="E22" s="30" t="s">
        <v>21</v>
      </c>
      <c r="F22" s="213" t="str">
        <f>INDEX(Q4_Paeds,19,7)</f>
        <v>No data</v>
      </c>
      <c r="G22" s="220" t="str">
        <f>INDEX(Q4_Paeds,19,8)</f>
        <v>No data</v>
      </c>
      <c r="H22" s="210" t="str">
        <f>INDEX(Q4_Paeds,19,9)</f>
        <v>No data</v>
      </c>
      <c r="I22" s="200">
        <f t="shared" si="0"/>
        <v>0</v>
      </c>
      <c r="J22" s="201" t="str">
        <f>INDEX(Q4_Paeds,19,10)</f>
        <v>No data</v>
      </c>
      <c r="K22" s="200">
        <f t="shared" si="1"/>
        <v>0</v>
      </c>
      <c r="L22" s="201" t="str">
        <f>INDEX(Q4_Paeds,19,11)</f>
        <v>No data</v>
      </c>
      <c r="M22" s="200">
        <f t="shared" si="2"/>
        <v>0</v>
      </c>
      <c r="N22" s="201" t="str">
        <f>INDEX(Q4_Paeds,19,12)</f>
        <v>No data</v>
      </c>
      <c r="O22" s="200">
        <f t="shared" si="3"/>
        <v>0</v>
      </c>
      <c r="P22" s="202" t="str">
        <f>INDEX(Q4_Paeds,19,13)</f>
        <v>No data</v>
      </c>
      <c r="Q22" s="199" t="str">
        <f>INDEX(Q4_Paeds,19,15)</f>
        <v>No data</v>
      </c>
      <c r="R22" s="200">
        <f t="shared" si="4"/>
        <v>0</v>
      </c>
      <c r="S22" s="201" t="str">
        <f>INDEX(Q4_Paeds,19,16)</f>
        <v>No data</v>
      </c>
      <c r="T22" s="211">
        <f t="shared" si="5"/>
        <v>0</v>
      </c>
      <c r="U22" s="203" t="str">
        <f>INDEX(Q4_Paeds,19,17)</f>
        <v>No data</v>
      </c>
      <c r="V22" s="200">
        <f t="shared" si="6"/>
        <v>0</v>
      </c>
      <c r="W22" s="201" t="str">
        <f>INDEX(Q4_Paeds,19,18)</f>
        <v>No data</v>
      </c>
      <c r="X22" s="200">
        <f t="shared" si="7"/>
        <v>0</v>
      </c>
      <c r="Y22" s="202" t="str">
        <f>INDEX(Q4_Paeds,19,19)</f>
        <v>No data</v>
      </c>
      <c r="Z22" s="214" t="str">
        <f>INDEX(Q4_Paeds,19,21)</f>
        <v>No data</v>
      </c>
      <c r="AA22" s="215" t="str">
        <f>INDEX(Q4_Paeds,19,22)</f>
        <v>No data</v>
      </c>
    </row>
    <row r="23" spans="2:27" s="8" customFormat="1" ht="21.75" customHeight="1" thickTop="1" thickBot="1" x14ac:dyDescent="0.35">
      <c r="B23" s="31" t="s">
        <v>57</v>
      </c>
      <c r="C23" s="31" t="s">
        <v>23</v>
      </c>
      <c r="D23" s="62">
        <v>3</v>
      </c>
      <c r="E23" s="31" t="s">
        <v>21</v>
      </c>
      <c r="F23" s="216" t="str">
        <f>INDEX(Q4_Paeds,20,7)</f>
        <v>No data</v>
      </c>
      <c r="G23" s="217" t="str">
        <f>INDEX(Q4_Paeds,20,8)</f>
        <v>No data</v>
      </c>
      <c r="H23" s="208" t="str">
        <f>INDEX(Q4_Paeds,20,9)</f>
        <v>No data</v>
      </c>
      <c r="I23" s="205">
        <f t="shared" si="0"/>
        <v>0</v>
      </c>
      <c r="J23" s="206" t="str">
        <f>INDEX(Q4_Paeds,20,10)</f>
        <v>No data</v>
      </c>
      <c r="K23" s="205">
        <f t="shared" si="1"/>
        <v>0</v>
      </c>
      <c r="L23" s="206" t="str">
        <f>INDEX(Q4_Paeds,20,11)</f>
        <v>No data</v>
      </c>
      <c r="M23" s="205">
        <f t="shared" si="2"/>
        <v>0</v>
      </c>
      <c r="N23" s="206" t="str">
        <f>INDEX(Q4_Paeds,20,12)</f>
        <v>No data</v>
      </c>
      <c r="O23" s="205">
        <f t="shared" si="3"/>
        <v>0</v>
      </c>
      <c r="P23" s="207" t="str">
        <f>INDEX(Q4_Paeds,20,13)</f>
        <v>No data</v>
      </c>
      <c r="Q23" s="208" t="str">
        <f>INDEX(Q4_Paeds,20,15)</f>
        <v>No data</v>
      </c>
      <c r="R23" s="205">
        <f t="shared" si="4"/>
        <v>0</v>
      </c>
      <c r="S23" s="206" t="str">
        <f>INDEX(Q4_Paeds,20,16)</f>
        <v>No data</v>
      </c>
      <c r="T23" s="205">
        <f t="shared" si="5"/>
        <v>0</v>
      </c>
      <c r="U23" s="212" t="str">
        <f>INDEX(Q4_Paeds,20,17)</f>
        <v>No data</v>
      </c>
      <c r="V23" s="205">
        <f t="shared" si="6"/>
        <v>0</v>
      </c>
      <c r="W23" s="206" t="str">
        <f>INDEX(Q4_Paeds,20,18)</f>
        <v>No data</v>
      </c>
      <c r="X23" s="205">
        <f t="shared" si="7"/>
        <v>0</v>
      </c>
      <c r="Y23" s="207" t="str">
        <f>INDEX(Q4_Paeds,20,19)</f>
        <v>No data</v>
      </c>
      <c r="Z23" s="218" t="str">
        <f>INDEX(Q4_Paeds,20,21)</f>
        <v>No data</v>
      </c>
      <c r="AA23" s="219" t="str">
        <f>INDEX(Q4_Paeds,20,22)</f>
        <v>No data</v>
      </c>
    </row>
    <row r="24" spans="2:27" s="8" customFormat="1" ht="21.75" customHeight="1" thickTop="1" thickBot="1" x14ac:dyDescent="0.35">
      <c r="B24" s="32" t="s">
        <v>54</v>
      </c>
      <c r="C24" s="32" t="s">
        <v>23</v>
      </c>
      <c r="D24" s="63">
        <v>3</v>
      </c>
      <c r="E24" s="32" t="s">
        <v>21</v>
      </c>
      <c r="F24" s="213" t="str">
        <f>INDEX(Q4_Paeds,21,7)</f>
        <v>No data</v>
      </c>
      <c r="G24" s="220" t="str">
        <f>INDEX(Q4_Paeds,21,8)</f>
        <v>No data</v>
      </c>
      <c r="H24" s="199" t="str">
        <f>INDEX(Q4_Paeds,21,9)</f>
        <v>No data</v>
      </c>
      <c r="I24" s="200">
        <f t="shared" si="0"/>
        <v>0</v>
      </c>
      <c r="J24" s="201" t="str">
        <f>INDEX(Q4_Paeds,21,10)</f>
        <v>No data</v>
      </c>
      <c r="K24" s="200">
        <f t="shared" si="1"/>
        <v>0</v>
      </c>
      <c r="L24" s="201" t="str">
        <f>INDEX(Q4_Paeds,21,11)</f>
        <v>No data</v>
      </c>
      <c r="M24" s="200">
        <f t="shared" si="2"/>
        <v>0</v>
      </c>
      <c r="N24" s="201" t="str">
        <f>INDEX(Q4_Paeds,21,12)</f>
        <v>No data</v>
      </c>
      <c r="O24" s="200">
        <f t="shared" si="3"/>
        <v>0</v>
      </c>
      <c r="P24" s="202" t="str">
        <f>INDEX(Q4_Paeds,21,13)</f>
        <v>No data</v>
      </c>
      <c r="Q24" s="199" t="str">
        <f>INDEX(Q4_Paeds,21,15)</f>
        <v>No data</v>
      </c>
      <c r="R24" s="200">
        <f t="shared" si="4"/>
        <v>0</v>
      </c>
      <c r="S24" s="201" t="str">
        <f>INDEX(Q4_Paeds,21,16)</f>
        <v>No data</v>
      </c>
      <c r="T24" s="200">
        <f t="shared" si="5"/>
        <v>0</v>
      </c>
      <c r="U24" s="203" t="str">
        <f>INDEX(Q4_Paeds,21,17)</f>
        <v>No data</v>
      </c>
      <c r="V24" s="200">
        <f t="shared" si="6"/>
        <v>0</v>
      </c>
      <c r="W24" s="201" t="str">
        <f>INDEX(Q4_Paeds,21,18)</f>
        <v>No data</v>
      </c>
      <c r="X24" s="200">
        <f t="shared" si="7"/>
        <v>0</v>
      </c>
      <c r="Y24" s="202" t="str">
        <f>INDEX(Q4_Paeds,21,19)</f>
        <v>No data</v>
      </c>
      <c r="Z24" s="214" t="str">
        <f>INDEX(Q4_Paeds,21,21)</f>
        <v>No data</v>
      </c>
      <c r="AA24" s="215" t="str">
        <f>INDEX(Q4_Paeds,21,22)</f>
        <v>No data</v>
      </c>
    </row>
    <row r="25" spans="2:27" s="8" customFormat="1" ht="21.75" customHeight="1" thickTop="1" thickBot="1" x14ac:dyDescent="0.35">
      <c r="B25" s="29" t="s">
        <v>62</v>
      </c>
      <c r="C25" s="29" t="s">
        <v>23</v>
      </c>
      <c r="D25" s="60">
        <v>3</v>
      </c>
      <c r="E25" s="29" t="s">
        <v>21</v>
      </c>
      <c r="F25" s="216" t="str">
        <f>INDEX(Q4_Paeds,22,7)</f>
        <v>No data</v>
      </c>
      <c r="G25" s="217" t="str">
        <f>INDEX(Q4_Paeds,22,8)</f>
        <v>No data</v>
      </c>
      <c r="H25" s="208" t="str">
        <f>INDEX(Q4_Paeds,22,9)</f>
        <v>No data</v>
      </c>
      <c r="I25" s="205">
        <f t="shared" si="0"/>
        <v>0</v>
      </c>
      <c r="J25" s="206" t="str">
        <f>INDEX(Q4_Paeds,22,10)</f>
        <v>No data</v>
      </c>
      <c r="K25" s="205">
        <f t="shared" si="1"/>
        <v>0</v>
      </c>
      <c r="L25" s="206" t="str">
        <f>INDEX(Q4_Paeds,22,11)</f>
        <v>No data</v>
      </c>
      <c r="M25" s="205">
        <f t="shared" si="2"/>
        <v>0</v>
      </c>
      <c r="N25" s="206" t="str">
        <f>INDEX(Q4_Paeds,22,12)</f>
        <v>No data</v>
      </c>
      <c r="O25" s="205">
        <f t="shared" si="3"/>
        <v>0</v>
      </c>
      <c r="P25" s="207" t="str">
        <f>INDEX(Q4_Paeds,22,13)</f>
        <v>No data</v>
      </c>
      <c r="Q25" s="208" t="str">
        <f>INDEX(Q4_Paeds,22,15)</f>
        <v>No data</v>
      </c>
      <c r="R25" s="205">
        <f t="shared" si="4"/>
        <v>0</v>
      </c>
      <c r="S25" s="206" t="str">
        <f>INDEX(Q4_Paeds,22,16)</f>
        <v>No data</v>
      </c>
      <c r="T25" s="205">
        <f t="shared" si="5"/>
        <v>0</v>
      </c>
      <c r="U25" s="212" t="str">
        <f>INDEX(Q4_Paeds,22,17)</f>
        <v>No data</v>
      </c>
      <c r="V25" s="205">
        <f t="shared" si="6"/>
        <v>0</v>
      </c>
      <c r="W25" s="206" t="str">
        <f>INDEX(Q4_Paeds,22,18)</f>
        <v>No data</v>
      </c>
      <c r="X25" s="205">
        <f t="shared" si="7"/>
        <v>0</v>
      </c>
      <c r="Y25" s="207" t="str">
        <f>INDEX(Q4_Paeds,22,19)</f>
        <v>No data</v>
      </c>
      <c r="Z25" s="218" t="str">
        <f>INDEX(Q4_Paeds,22,21)</f>
        <v>No data</v>
      </c>
      <c r="AA25" s="219" t="str">
        <f>INDEX(Q4_Paeds,22,22)</f>
        <v>No data</v>
      </c>
    </row>
    <row r="26" spans="2:27" ht="15" thickTop="1" x14ac:dyDescent="0.3">
      <c r="B26" s="16"/>
      <c r="C26" s="16"/>
      <c r="D26" s="16"/>
      <c r="E26" s="16"/>
      <c r="F26" s="15"/>
      <c r="G26" s="15"/>
      <c r="H26" s="119"/>
      <c r="I26" s="15"/>
      <c r="J26" s="119"/>
      <c r="K26" s="15"/>
      <c r="L26" s="119"/>
      <c r="M26" s="15"/>
      <c r="N26" s="119"/>
      <c r="O26" s="15"/>
      <c r="P26" s="15"/>
      <c r="Q26" s="119"/>
      <c r="R26" s="15"/>
      <c r="S26" s="119"/>
      <c r="T26" s="15"/>
      <c r="U26" s="119"/>
      <c r="V26" s="15"/>
      <c r="W26" s="119"/>
      <c r="X26" s="15"/>
      <c r="Y26" s="15"/>
      <c r="Z26" s="15"/>
      <c r="AA26" s="15"/>
    </row>
    <row r="27" spans="2:27" ht="15" thickBot="1" x14ac:dyDescent="0.35">
      <c r="B27" s="16"/>
      <c r="C27" s="16"/>
      <c r="D27" s="16"/>
      <c r="E27" s="16"/>
      <c r="F27" s="15"/>
      <c r="G27" s="15"/>
      <c r="H27" s="119"/>
      <c r="I27" s="15"/>
      <c r="J27" s="119"/>
      <c r="K27" s="15"/>
      <c r="L27" s="119"/>
      <c r="M27" s="15"/>
      <c r="N27" s="119"/>
      <c r="O27" s="15"/>
      <c r="P27" s="15"/>
      <c r="Q27" s="119"/>
      <c r="R27" s="15"/>
      <c r="S27" s="119"/>
      <c r="T27" s="15"/>
      <c r="U27" s="119"/>
      <c r="V27" s="15"/>
      <c r="W27" s="119"/>
      <c r="X27" s="15"/>
      <c r="Y27" s="15"/>
      <c r="Z27" s="15"/>
      <c r="AA27" s="15"/>
    </row>
    <row r="28" spans="2:27" ht="14.4" x14ac:dyDescent="0.3">
      <c r="B28" s="299" t="s">
        <v>86</v>
      </c>
      <c r="C28" s="300" t="s">
        <v>87</v>
      </c>
      <c r="D28" s="301"/>
      <c r="E28" s="302"/>
      <c r="F28" s="309" t="s">
        <v>78</v>
      </c>
      <c r="G28" s="310"/>
      <c r="H28" s="311"/>
      <c r="I28" s="312"/>
      <c r="J28" s="315" t="s">
        <v>84</v>
      </c>
      <c r="K28" s="316"/>
      <c r="L28" s="319" t="s">
        <v>84</v>
      </c>
      <c r="M28" s="320"/>
      <c r="N28" s="323" t="s">
        <v>84</v>
      </c>
      <c r="O28" s="324"/>
      <c r="P28" s="229"/>
      <c r="Q28" s="311"/>
      <c r="R28" s="312"/>
      <c r="S28" s="315" t="s">
        <v>84</v>
      </c>
      <c r="T28" s="316"/>
      <c r="U28" s="319" t="s">
        <v>84</v>
      </c>
      <c r="V28" s="320"/>
      <c r="W28" s="323" t="s">
        <v>84</v>
      </c>
      <c r="X28" s="324"/>
      <c r="Y28" s="128"/>
      <c r="Z28" s="335" t="s">
        <v>81</v>
      </c>
      <c r="AA28" s="310"/>
    </row>
    <row r="29" spans="2:27" ht="14.4" x14ac:dyDescent="0.3">
      <c r="B29" s="299"/>
      <c r="C29" s="303"/>
      <c r="D29" s="304"/>
      <c r="E29" s="305"/>
      <c r="F29" s="336" t="s">
        <v>79</v>
      </c>
      <c r="G29" s="337"/>
      <c r="H29" s="313"/>
      <c r="I29" s="314"/>
      <c r="J29" s="317"/>
      <c r="K29" s="318"/>
      <c r="L29" s="321"/>
      <c r="M29" s="322"/>
      <c r="N29" s="325"/>
      <c r="O29" s="326"/>
      <c r="P29" s="230"/>
      <c r="Q29" s="313"/>
      <c r="R29" s="314"/>
      <c r="S29" s="317"/>
      <c r="T29" s="318"/>
      <c r="U29" s="321"/>
      <c r="V29" s="322"/>
      <c r="W29" s="325"/>
      <c r="X29" s="326"/>
      <c r="Y29" s="129"/>
      <c r="Z29" s="338" t="s">
        <v>82</v>
      </c>
      <c r="AA29" s="337"/>
    </row>
    <row r="30" spans="2:27" ht="15" thickBot="1" x14ac:dyDescent="0.35">
      <c r="B30" s="299"/>
      <c r="C30" s="306"/>
      <c r="D30" s="307"/>
      <c r="E30" s="308"/>
      <c r="F30" s="331" t="s">
        <v>80</v>
      </c>
      <c r="G30" s="332"/>
      <c r="H30" s="333"/>
      <c r="I30" s="334"/>
      <c r="J30" s="339" t="s">
        <v>85</v>
      </c>
      <c r="K30" s="334"/>
      <c r="L30" s="339" t="s">
        <v>85</v>
      </c>
      <c r="M30" s="334"/>
      <c r="N30" s="339" t="s">
        <v>85</v>
      </c>
      <c r="O30" s="334"/>
      <c r="P30" s="227"/>
      <c r="Q30" s="333"/>
      <c r="R30" s="334"/>
      <c r="S30" s="339" t="s">
        <v>85</v>
      </c>
      <c r="T30" s="334"/>
      <c r="U30" s="339" t="s">
        <v>85</v>
      </c>
      <c r="V30" s="334"/>
      <c r="W30" s="339" t="s">
        <v>85</v>
      </c>
      <c r="X30" s="334"/>
      <c r="Y30" s="115"/>
      <c r="Z30" s="340" t="s">
        <v>83</v>
      </c>
      <c r="AA30" s="332"/>
    </row>
    <row r="31" spans="2:27" ht="14.4" x14ac:dyDescent="0.3">
      <c r="B31" s="17"/>
      <c r="C31" s="17"/>
      <c r="D31" s="17"/>
      <c r="E31" s="17"/>
      <c r="F31" s="18"/>
      <c r="G31" s="18"/>
      <c r="H31" s="120"/>
      <c r="I31" s="18"/>
      <c r="J31" s="120"/>
      <c r="K31" s="18"/>
      <c r="L31" s="120"/>
      <c r="M31" s="18"/>
      <c r="N31" s="120"/>
      <c r="O31" s="18"/>
      <c r="P31" s="18"/>
      <c r="Q31" s="120"/>
      <c r="R31" s="18"/>
      <c r="S31" s="120"/>
      <c r="T31" s="18"/>
      <c r="U31" s="120"/>
      <c r="V31" s="18"/>
      <c r="W31" s="120"/>
      <c r="X31" s="18"/>
      <c r="Y31" s="18"/>
      <c r="Z31" s="18"/>
      <c r="AA31" s="19"/>
    </row>
    <row r="32" spans="2:27" ht="14.4" x14ac:dyDescent="0.3">
      <c r="B32" s="15"/>
      <c r="C32" s="15"/>
      <c r="D32" s="15"/>
      <c r="E32" s="15"/>
      <c r="F32" s="20">
        <v>10</v>
      </c>
      <c r="G32" s="20">
        <v>10</v>
      </c>
      <c r="H32" s="121">
        <v>10</v>
      </c>
      <c r="I32" s="20"/>
      <c r="J32" s="121">
        <v>10</v>
      </c>
      <c r="K32" s="20">
        <v>10</v>
      </c>
      <c r="L32" s="121">
        <v>10</v>
      </c>
      <c r="M32" s="20"/>
      <c r="N32" s="121"/>
      <c r="O32" s="20"/>
      <c r="P32" s="20"/>
      <c r="Q32" s="121"/>
      <c r="R32" s="20"/>
      <c r="S32" s="121"/>
      <c r="T32" s="20"/>
      <c r="U32" s="121"/>
      <c r="V32" s="20"/>
      <c r="W32" s="121"/>
      <c r="X32" s="20"/>
      <c r="Y32" s="20"/>
      <c r="Z32" s="20"/>
      <c r="AA32" s="15"/>
    </row>
    <row r="33" spans="2:27" ht="14.4" x14ac:dyDescent="0.3">
      <c r="B33" s="16" t="s">
        <v>15</v>
      </c>
      <c r="C33" s="16"/>
      <c r="D33" s="16"/>
      <c r="E33" s="16"/>
      <c r="F33" s="21"/>
      <c r="G33" s="15"/>
      <c r="H33" s="119"/>
      <c r="I33" s="15"/>
      <c r="J33" s="119"/>
      <c r="K33" s="15"/>
      <c r="L33" s="119"/>
      <c r="M33" s="15"/>
      <c r="N33" s="119"/>
      <c r="O33" s="15"/>
      <c r="P33" s="15"/>
      <c r="Q33" s="119"/>
      <c r="R33" s="15"/>
      <c r="S33" s="119"/>
      <c r="T33" s="15"/>
      <c r="U33" s="119"/>
      <c r="V33" s="15"/>
      <c r="W33" s="119"/>
      <c r="X33" s="15"/>
      <c r="Y33" s="15"/>
      <c r="Z33" s="15"/>
      <c r="AA33" s="15"/>
    </row>
    <row r="34" spans="2:27" ht="14.4" x14ac:dyDescent="0.3">
      <c r="B34" s="22" t="s">
        <v>16</v>
      </c>
      <c r="C34" s="22"/>
      <c r="D34" s="22"/>
      <c r="E34" s="22"/>
      <c r="F34" s="15"/>
      <c r="G34" s="15"/>
      <c r="H34" s="119"/>
      <c r="I34" s="15"/>
      <c r="J34" s="119"/>
      <c r="K34" s="15"/>
      <c r="L34" s="119"/>
      <c r="M34" s="15"/>
      <c r="N34" s="119"/>
      <c r="O34" s="15"/>
      <c r="P34" s="15"/>
      <c r="Q34" s="119"/>
      <c r="R34" s="15"/>
      <c r="S34" s="119"/>
      <c r="T34" s="15"/>
      <c r="U34" s="119"/>
      <c r="V34" s="15"/>
      <c r="W34" s="119"/>
      <c r="X34" s="15"/>
      <c r="Y34" s="15"/>
      <c r="Z34" s="15"/>
      <c r="AA34" s="15"/>
    </row>
    <row r="35" spans="2:27" ht="14.4" x14ac:dyDescent="0.3">
      <c r="B35" s="23"/>
      <c r="C35" s="23"/>
      <c r="D35" s="23"/>
      <c r="E35" s="23"/>
      <c r="F35" s="15"/>
      <c r="G35" s="15"/>
      <c r="H35" s="119"/>
      <c r="I35" s="15"/>
      <c r="J35" s="119"/>
      <c r="K35" s="15"/>
      <c r="L35" s="119"/>
      <c r="M35" s="15"/>
      <c r="N35" s="119"/>
      <c r="O35" s="15"/>
      <c r="P35" s="15"/>
      <c r="Q35" s="119"/>
      <c r="R35" s="15"/>
      <c r="S35" s="119"/>
      <c r="T35" s="15"/>
      <c r="U35" s="119"/>
      <c r="V35" s="15"/>
      <c r="W35" s="119"/>
      <c r="X35" s="15"/>
      <c r="Y35" s="15"/>
      <c r="Z35" s="15"/>
      <c r="AA35" s="15"/>
    </row>
    <row r="36" spans="2:27" ht="14.4" x14ac:dyDescent="0.3"/>
    <row r="37" spans="2:27" ht="14.4" x14ac:dyDescent="0.3"/>
    <row r="38" spans="2:27" ht="14.4" hidden="1" x14ac:dyDescent="0.3"/>
    <row r="39" spans="2:27" ht="14.4" hidden="1" x14ac:dyDescent="0.3"/>
    <row r="40" spans="2:27" ht="14.4" hidden="1" x14ac:dyDescent="0.3"/>
    <row r="41" spans="2:27" ht="14.4" hidden="1" x14ac:dyDescent="0.3"/>
    <row r="42" spans="2:27" ht="14.4" hidden="1" x14ac:dyDescent="0.3"/>
    <row r="43" spans="2:27" ht="14.4" hidden="1" x14ac:dyDescent="0.3"/>
    <row r="44" spans="2:27" ht="14.4" hidden="1" x14ac:dyDescent="0.3"/>
    <row r="45" spans="2:27" ht="14.4" hidden="1" x14ac:dyDescent="0.3"/>
    <row r="46" spans="2:27" ht="14.4" hidden="1" x14ac:dyDescent="0.3"/>
    <row r="47" spans="2:27" ht="14.4" hidden="1" x14ac:dyDescent="0.3"/>
    <row r="48" spans="2:27" ht="14.4" hidden="1" x14ac:dyDescent="0.3"/>
    <row r="49" ht="14.4" hidden="1" x14ac:dyDescent="0.3"/>
    <row r="50" ht="14.4" hidden="1" x14ac:dyDescent="0.3"/>
    <row r="51" ht="14.4" hidden="1" x14ac:dyDescent="0.3"/>
    <row r="52" ht="14.4" hidden="1" x14ac:dyDescent="0.3"/>
    <row r="53" ht="14.4" hidden="1" x14ac:dyDescent="0.3"/>
    <row r="54" ht="14.4" hidden="1" x14ac:dyDescent="0.3"/>
    <row r="55" ht="14.4" hidden="1" x14ac:dyDescent="0.3"/>
    <row r="56" ht="14.4" hidden="1" x14ac:dyDescent="0.3"/>
    <row r="57" ht="14.4" hidden="1" x14ac:dyDescent="0.3"/>
    <row r="58" ht="14.4" hidden="1" x14ac:dyDescent="0.3"/>
    <row r="59" ht="14.4" hidden="1" x14ac:dyDescent="0.3"/>
    <row r="60" ht="14.4" hidden="1" x14ac:dyDescent="0.3"/>
    <row r="61" ht="14.4" hidden="1" x14ac:dyDescent="0.3"/>
    <row r="62" ht="14.4" hidden="1" x14ac:dyDescent="0.3"/>
  </sheetData>
  <mergeCells count="45">
    <mergeCell ref="Z28:AA28"/>
    <mergeCell ref="F29:G29"/>
    <mergeCell ref="Z29:AA29"/>
    <mergeCell ref="Q30:R30"/>
    <mergeCell ref="S30:T30"/>
    <mergeCell ref="U30:V30"/>
    <mergeCell ref="W30:X30"/>
    <mergeCell ref="Z30:AA30"/>
    <mergeCell ref="J30:K30"/>
    <mergeCell ref="L30:M30"/>
    <mergeCell ref="N30:O30"/>
    <mergeCell ref="U28:V29"/>
    <mergeCell ref="W28:X29"/>
    <mergeCell ref="W7:X7"/>
    <mergeCell ref="B28:B30"/>
    <mergeCell ref="C28:E30"/>
    <mergeCell ref="F28:G28"/>
    <mergeCell ref="H28:I29"/>
    <mergeCell ref="J28:K29"/>
    <mergeCell ref="L28:M29"/>
    <mergeCell ref="N28:O29"/>
    <mergeCell ref="Q28:R29"/>
    <mergeCell ref="S28:T29"/>
    <mergeCell ref="B5:B7"/>
    <mergeCell ref="C5:C7"/>
    <mergeCell ref="D5:D7"/>
    <mergeCell ref="E5:E7"/>
    <mergeCell ref="F30:G30"/>
    <mergeCell ref="H30:I30"/>
    <mergeCell ref="Z5:AA5"/>
    <mergeCell ref="F6:F7"/>
    <mergeCell ref="G6:G7"/>
    <mergeCell ref="H6:P6"/>
    <mergeCell ref="Q6:Y6"/>
    <mergeCell ref="Z6:Z7"/>
    <mergeCell ref="AA6:AA7"/>
    <mergeCell ref="H7:I7"/>
    <mergeCell ref="J7:K7"/>
    <mergeCell ref="L7:M7"/>
    <mergeCell ref="F5:G5"/>
    <mergeCell ref="H5:Y5"/>
    <mergeCell ref="N7:O7"/>
    <mergeCell ref="Q7:R7"/>
    <mergeCell ref="S7:T7"/>
    <mergeCell ref="U7:V7"/>
  </mergeCells>
  <conditionalFormatting sqref="F8:G25">
    <cfRule type="containsText" dxfId="20" priority="9" operator="containsText" text="N/A">
      <formula>NOT(ISERROR(SEARCH("N/A",F8)))</formula>
    </cfRule>
    <cfRule type="cellIs" dxfId="19" priority="16" operator="between">
      <formula>0.01</formula>
      <formula>13</formula>
    </cfRule>
    <cfRule type="cellIs" dxfId="18" priority="17" operator="between">
      <formula>13</formula>
      <formula>18</formula>
    </cfRule>
    <cfRule type="cellIs" dxfId="17" priority="18" operator="greaterThan">
      <formula>18</formula>
    </cfRule>
    <cfRule type="cellIs" dxfId="16" priority="19" operator="greaterThan">
      <formula>18</formula>
    </cfRule>
  </conditionalFormatting>
  <conditionalFormatting sqref="K8:K25 T8:T25">
    <cfRule type="cellIs" dxfId="15" priority="15" operator="greaterThan">
      <formula>0.49</formula>
    </cfRule>
  </conditionalFormatting>
  <conditionalFormatting sqref="V8:V25 M8:M25">
    <cfRule type="cellIs" dxfId="14" priority="14" operator="greaterThan">
      <formula>0.49</formula>
    </cfRule>
  </conditionalFormatting>
  <conditionalFormatting sqref="O8:O25 X8:X25">
    <cfRule type="cellIs" dxfId="13" priority="13" operator="greaterThan">
      <formula>0.49</formula>
    </cfRule>
  </conditionalFormatting>
  <conditionalFormatting sqref="Z8:AA25">
    <cfRule type="cellIs" dxfId="12" priority="10" operator="between">
      <formula>0.0001</formula>
      <formula>0.1</formula>
    </cfRule>
    <cfRule type="cellIs" dxfId="11" priority="11" operator="between">
      <formula>0.1</formula>
      <formula>0.19</formula>
    </cfRule>
    <cfRule type="cellIs" dxfId="10" priority="12" operator="greaterThan">
      <formula>0.2</formula>
    </cfRule>
  </conditionalFormatting>
  <conditionalFormatting sqref="J8:J25">
    <cfRule type="expression" dxfId="9" priority="8">
      <formula>($J8/$P8*100)&gt;49.49</formula>
    </cfRule>
  </conditionalFormatting>
  <conditionalFormatting sqref="L8:L25">
    <cfRule type="expression" dxfId="8" priority="7">
      <formula>($L8/$P8*100)&gt;49.49</formula>
    </cfRule>
  </conditionalFormatting>
  <conditionalFormatting sqref="N8:N25">
    <cfRule type="expression" dxfId="7" priority="6">
      <formula>($N8/$P8*100)&gt;49.49</formula>
    </cfRule>
  </conditionalFormatting>
  <conditionalFormatting sqref="S8:S25">
    <cfRule type="expression" dxfId="6" priority="5">
      <formula>($S8/$Y8*100)&gt;49.49</formula>
    </cfRule>
  </conditionalFormatting>
  <conditionalFormatting sqref="U8:U25">
    <cfRule type="expression" dxfId="5" priority="4">
      <formula>($U8/$Y8*100)&gt;49.49</formula>
    </cfRule>
  </conditionalFormatting>
  <conditionalFormatting sqref="W8:W25">
    <cfRule type="expression" dxfId="4" priority="3">
      <formula>($W8/$Y8*100)&gt;49.49</formula>
    </cfRule>
  </conditionalFormatting>
  <conditionalFormatting sqref="L9">
    <cfRule type="expression" dxfId="3" priority="2">
      <formula>"$M$9=&gt;.499"</formula>
    </cfRule>
  </conditionalFormatting>
  <conditionalFormatting sqref="F8:AA25">
    <cfRule type="expression" dxfId="2" priority="1">
      <formula>$F8="No data"</formula>
    </cfRule>
  </conditionalFormatting>
  <hyperlinks>
    <hyperlink ref="C28:E30" location="Sheet1!A1" display="For more information on rag ratings please click here" xr:uid="{00000000-0004-0000-0C00-000000000000}"/>
    <hyperlink ref="B3" location="'Front Page'!A1" display="Return to Contents" xr:uid="{00000000-0004-0000-0C00-000001000000}"/>
  </hyperlink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C456"/>
  <sheetViews>
    <sheetView showGridLines="0" zoomScale="85" zoomScaleNormal="85" workbookViewId="0">
      <selection activeCell="A2" sqref="A2:AC2"/>
    </sheetView>
  </sheetViews>
  <sheetFormatPr defaultColWidth="0" defaultRowHeight="14.4" customHeight="1" zeroHeight="1" x14ac:dyDescent="0.3"/>
  <cols>
    <col min="1" max="29" width="9.109375" style="33" customWidth="1"/>
    <col min="30" max="16384" width="9.109375" style="33" hidden="1"/>
  </cols>
  <sheetData>
    <row r="1" spans="1:29" s="10" customFormat="1" ht="35.25" customHeight="1" x14ac:dyDescent="0.3">
      <c r="A1" s="341" t="s">
        <v>96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  <c r="T1" s="341"/>
      <c r="U1" s="341"/>
      <c r="V1" s="341"/>
      <c r="W1" s="341"/>
      <c r="X1" s="341"/>
      <c r="Y1" s="342" t="s">
        <v>95</v>
      </c>
      <c r="Z1" s="342"/>
      <c r="AA1" s="342"/>
    </row>
    <row r="2" spans="1:29" s="79" customFormat="1" ht="30" customHeight="1" x14ac:dyDescent="0.3">
      <c r="A2" s="343" t="s">
        <v>182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343"/>
      <c r="X2" s="343"/>
      <c r="Y2" s="343"/>
      <c r="Z2" s="343"/>
      <c r="AA2" s="343"/>
      <c r="AB2" s="343"/>
      <c r="AC2" s="343"/>
    </row>
    <row r="3" spans="1:29" s="80" customFormat="1" ht="25.5" customHeight="1" x14ac:dyDescent="0.3">
      <c r="B3" s="81" t="s">
        <v>106</v>
      </c>
    </row>
    <row r="4" spans="1:29" s="12" customFormat="1" x14ac:dyDescent="0.3"/>
    <row r="5" spans="1:29" s="12" customFormat="1" x14ac:dyDescent="0.3"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</row>
    <row r="6" spans="1:29" s="12" customFormat="1" x14ac:dyDescent="0.3"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</row>
    <row r="7" spans="1:29" s="12" customFormat="1" x14ac:dyDescent="0.3"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</row>
    <row r="8" spans="1:29" s="12" customFormat="1" x14ac:dyDescent="0.3"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</row>
    <row r="9" spans="1:29" s="12" customFormat="1" x14ac:dyDescent="0.3"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</row>
    <row r="10" spans="1:29" s="12" customFormat="1" x14ac:dyDescent="0.3"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</row>
    <row r="11" spans="1:29" s="12" customFormat="1" x14ac:dyDescent="0.3"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</row>
    <row r="12" spans="1:29" s="12" customFormat="1" x14ac:dyDescent="0.3"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</row>
    <row r="13" spans="1:29" s="12" customFormat="1" x14ac:dyDescent="0.3"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</row>
    <row r="14" spans="1:29" s="12" customFormat="1" x14ac:dyDescent="0.3"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</row>
    <row r="15" spans="1:29" s="12" customFormat="1" x14ac:dyDescent="0.3"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</row>
    <row r="16" spans="1:29" s="12" customFormat="1" x14ac:dyDescent="0.3"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</row>
    <row r="17" spans="2:28" s="12" customFormat="1" x14ac:dyDescent="0.3"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</row>
    <row r="18" spans="2:28" s="12" customFormat="1" x14ac:dyDescent="0.3"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</row>
    <row r="19" spans="2:28" s="12" customFormat="1" x14ac:dyDescent="0.3"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</row>
    <row r="20" spans="2:28" s="12" customFormat="1" x14ac:dyDescent="0.3"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</row>
    <row r="21" spans="2:28" s="12" customFormat="1" x14ac:dyDescent="0.3"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</row>
    <row r="22" spans="2:28" s="12" customFormat="1" x14ac:dyDescent="0.3"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</row>
    <row r="23" spans="2:28" s="12" customFormat="1" x14ac:dyDescent="0.3"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</row>
    <row r="24" spans="2:28" s="12" customFormat="1" x14ac:dyDescent="0.3"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</row>
    <row r="25" spans="2:28" s="12" customFormat="1" x14ac:dyDescent="0.3"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</row>
    <row r="26" spans="2:28" s="12" customFormat="1" x14ac:dyDescent="0.3"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</row>
    <row r="27" spans="2:28" s="12" customFormat="1" x14ac:dyDescent="0.3"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</row>
    <row r="28" spans="2:28" s="12" customFormat="1" x14ac:dyDescent="0.3"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</row>
    <row r="29" spans="2:28" s="12" customFormat="1" x14ac:dyDescent="0.3"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</row>
    <row r="30" spans="2:28" s="12" customFormat="1" x14ac:dyDescent="0.3"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</row>
    <row r="31" spans="2:28" s="12" customFormat="1" x14ac:dyDescent="0.3"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</row>
    <row r="32" spans="2:28" s="12" customFormat="1" x14ac:dyDescent="0.3"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</row>
    <row r="33" spans="1:28" s="12" customFormat="1" x14ac:dyDescent="0.3"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</row>
    <row r="34" spans="1:28" s="12" customFormat="1" x14ac:dyDescent="0.3"/>
    <row r="35" spans="1:28" s="12" customFormat="1" x14ac:dyDescent="0.3"/>
    <row r="36" spans="1:28" s="80" customFormat="1" ht="25.5" customHeight="1" x14ac:dyDescent="0.3">
      <c r="B36" s="81" t="s">
        <v>97</v>
      </c>
    </row>
    <row r="37" spans="1:28" s="12" customFormat="1" x14ac:dyDescent="0.3"/>
    <row r="38" spans="1:28" s="78" customFormat="1" x14ac:dyDescent="0.3">
      <c r="A38" s="12"/>
    </row>
    <row r="39" spans="1:28" s="78" customFormat="1" x14ac:dyDescent="0.3">
      <c r="A39" s="12"/>
    </row>
    <row r="40" spans="1:28" s="78" customFormat="1" x14ac:dyDescent="0.3">
      <c r="A40" s="12"/>
    </row>
    <row r="41" spans="1:28" s="78" customFormat="1" x14ac:dyDescent="0.3">
      <c r="A41" s="12"/>
    </row>
    <row r="42" spans="1:28" s="78" customFormat="1" x14ac:dyDescent="0.3">
      <c r="A42" s="12"/>
    </row>
    <row r="43" spans="1:28" s="78" customFormat="1" x14ac:dyDescent="0.3">
      <c r="A43" s="12"/>
    </row>
    <row r="44" spans="1:28" s="78" customFormat="1" x14ac:dyDescent="0.3">
      <c r="A44" s="12"/>
    </row>
    <row r="45" spans="1:28" s="78" customFormat="1" x14ac:dyDescent="0.3">
      <c r="A45" s="12"/>
    </row>
    <row r="46" spans="1:28" s="78" customFormat="1" x14ac:dyDescent="0.3">
      <c r="A46" s="12"/>
    </row>
    <row r="47" spans="1:28" s="78" customFormat="1" x14ac:dyDescent="0.3">
      <c r="A47" s="12"/>
    </row>
    <row r="48" spans="1:28" s="78" customFormat="1" x14ac:dyDescent="0.3">
      <c r="A48" s="12"/>
    </row>
    <row r="49" spans="1:1" s="78" customFormat="1" x14ac:dyDescent="0.3">
      <c r="A49" s="12"/>
    </row>
    <row r="50" spans="1:1" s="78" customFormat="1" x14ac:dyDescent="0.3">
      <c r="A50" s="12"/>
    </row>
    <row r="51" spans="1:1" s="78" customFormat="1" x14ac:dyDescent="0.3">
      <c r="A51" s="12"/>
    </row>
    <row r="52" spans="1:1" s="78" customFormat="1" x14ac:dyDescent="0.3">
      <c r="A52" s="12"/>
    </row>
    <row r="53" spans="1:1" s="78" customFormat="1" x14ac:dyDescent="0.3">
      <c r="A53" s="12"/>
    </row>
    <row r="54" spans="1:1" s="78" customFormat="1" x14ac:dyDescent="0.3">
      <c r="A54" s="12"/>
    </row>
    <row r="55" spans="1:1" s="78" customFormat="1" x14ac:dyDescent="0.3">
      <c r="A55" s="12"/>
    </row>
    <row r="56" spans="1:1" s="78" customFormat="1" x14ac:dyDescent="0.3">
      <c r="A56" s="12"/>
    </row>
    <row r="57" spans="1:1" s="78" customFormat="1" x14ac:dyDescent="0.3">
      <c r="A57" s="12"/>
    </row>
    <row r="58" spans="1:1" s="78" customFormat="1" x14ac:dyDescent="0.3">
      <c r="A58" s="12"/>
    </row>
    <row r="59" spans="1:1" s="78" customFormat="1" x14ac:dyDescent="0.3">
      <c r="A59" s="12"/>
    </row>
    <row r="60" spans="1:1" s="78" customFormat="1" x14ac:dyDescent="0.3">
      <c r="A60" s="12"/>
    </row>
    <row r="61" spans="1:1" s="78" customFormat="1" x14ac:dyDescent="0.3">
      <c r="A61" s="12"/>
    </row>
    <row r="62" spans="1:1" s="78" customFormat="1" x14ac:dyDescent="0.3">
      <c r="A62" s="12"/>
    </row>
    <row r="63" spans="1:1" s="78" customFormat="1" x14ac:dyDescent="0.3">
      <c r="A63" s="12"/>
    </row>
    <row r="64" spans="1:1" s="78" customFormat="1" x14ac:dyDescent="0.3">
      <c r="A64" s="12"/>
    </row>
    <row r="65" spans="1:1" s="78" customFormat="1" x14ac:dyDescent="0.3">
      <c r="A65" s="12"/>
    </row>
    <row r="66" spans="1:1" s="78" customFormat="1" x14ac:dyDescent="0.3">
      <c r="A66" s="12"/>
    </row>
    <row r="67" spans="1:1" s="78" customFormat="1" x14ac:dyDescent="0.3">
      <c r="A67" s="12"/>
    </row>
    <row r="68" spans="1:1" s="78" customFormat="1" x14ac:dyDescent="0.3">
      <c r="A68" s="12"/>
    </row>
    <row r="69" spans="1:1" s="78" customFormat="1" x14ac:dyDescent="0.3">
      <c r="A69" s="12"/>
    </row>
    <row r="70" spans="1:1" s="78" customFormat="1" x14ac:dyDescent="0.3">
      <c r="A70" s="12"/>
    </row>
    <row r="71" spans="1:1" s="78" customFormat="1" x14ac:dyDescent="0.3">
      <c r="A71" s="12"/>
    </row>
    <row r="72" spans="1:1" s="78" customFormat="1" x14ac:dyDescent="0.3">
      <c r="A72" s="12"/>
    </row>
    <row r="73" spans="1:1" s="78" customFormat="1" x14ac:dyDescent="0.3">
      <c r="A73" s="12"/>
    </row>
    <row r="74" spans="1:1" s="78" customFormat="1" x14ac:dyDescent="0.3">
      <c r="A74" s="12"/>
    </row>
    <row r="75" spans="1:1" s="78" customFormat="1" x14ac:dyDescent="0.3">
      <c r="A75" s="12"/>
    </row>
    <row r="76" spans="1:1" s="78" customFormat="1" x14ac:dyDescent="0.3">
      <c r="A76" s="12"/>
    </row>
    <row r="77" spans="1:1" s="78" customFormat="1" x14ac:dyDescent="0.3">
      <c r="A77" s="12"/>
    </row>
    <row r="78" spans="1:1" s="78" customFormat="1" x14ac:dyDescent="0.3">
      <c r="A78" s="12"/>
    </row>
    <row r="79" spans="1:1" s="78" customFormat="1" x14ac:dyDescent="0.3">
      <c r="A79" s="12"/>
    </row>
    <row r="80" spans="1:1" s="78" customFormat="1" x14ac:dyDescent="0.3">
      <c r="A80" s="12"/>
    </row>
    <row r="81" spans="1:29" s="78" customFormat="1" x14ac:dyDescent="0.3">
      <c r="A81" s="12"/>
    </row>
    <row r="82" spans="1:29" s="78" customFormat="1" x14ac:dyDescent="0.3">
      <c r="A82" s="12"/>
    </row>
    <row r="83" spans="1:29" s="78" customFormat="1" x14ac:dyDescent="0.3">
      <c r="A83" s="12"/>
    </row>
    <row r="84" spans="1:29" s="78" customFormat="1" x14ac:dyDescent="0.3">
      <c r="A84" s="12"/>
    </row>
    <row r="85" spans="1:29" s="78" customFormat="1" x14ac:dyDescent="0.3">
      <c r="A85" s="12"/>
    </row>
    <row r="86" spans="1:29" s="78" customFormat="1" x14ac:dyDescent="0.3">
      <c r="A86" s="12"/>
    </row>
    <row r="87" spans="1:29" s="78" customFormat="1" x14ac:dyDescent="0.3">
      <c r="A87" s="12"/>
    </row>
    <row r="88" spans="1:29" s="78" customFormat="1" x14ac:dyDescent="0.3">
      <c r="A88" s="12"/>
    </row>
    <row r="89" spans="1:29" s="12" customFormat="1" x14ac:dyDescent="0.3"/>
    <row r="90" spans="1:29" s="12" customFormat="1" x14ac:dyDescent="0.3">
      <c r="B90" s="78"/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</row>
    <row r="91" spans="1:29" s="12" customFormat="1" x14ac:dyDescent="0.3">
      <c r="B91" s="78"/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</row>
    <row r="92" spans="1:29" s="12" customFormat="1" x14ac:dyDescent="0.3">
      <c r="B92" s="78"/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</row>
    <row r="93" spans="1:29" s="12" customFormat="1" x14ac:dyDescent="0.3">
      <c r="B93" s="78"/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</row>
    <row r="94" spans="1:29" s="12" customFormat="1" x14ac:dyDescent="0.3">
      <c r="B94" s="78"/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</row>
    <row r="95" spans="1:29" s="12" customFormat="1" x14ac:dyDescent="0.3">
      <c r="B95" s="78"/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</row>
    <row r="96" spans="1:29" s="12" customFormat="1" x14ac:dyDescent="0.3">
      <c r="B96" s="78"/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</row>
    <row r="97" spans="2:29" s="12" customFormat="1" x14ac:dyDescent="0.3">
      <c r="B97" s="78"/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</row>
    <row r="98" spans="2:29" s="12" customFormat="1" x14ac:dyDescent="0.3">
      <c r="B98" s="78"/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</row>
    <row r="99" spans="2:29" s="12" customFormat="1" x14ac:dyDescent="0.3">
      <c r="B99" s="78"/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</row>
    <row r="100" spans="2:29" s="12" customFormat="1" x14ac:dyDescent="0.3">
      <c r="B100" s="78"/>
      <c r="C100" s="78"/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</row>
    <row r="101" spans="2:29" s="12" customFormat="1" x14ac:dyDescent="0.3"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</row>
    <row r="102" spans="2:29" s="12" customFormat="1" x14ac:dyDescent="0.3">
      <c r="B102" s="78"/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</row>
    <row r="103" spans="2:29" s="12" customFormat="1" x14ac:dyDescent="0.3">
      <c r="B103" s="78"/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</row>
    <row r="104" spans="2:29" s="12" customFormat="1" x14ac:dyDescent="0.3">
      <c r="B104" s="78"/>
      <c r="C104" s="78"/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</row>
    <row r="105" spans="2:29" s="12" customFormat="1" x14ac:dyDescent="0.3">
      <c r="B105" s="78"/>
      <c r="C105" s="78"/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</row>
    <row r="106" spans="2:29" s="12" customFormat="1" x14ac:dyDescent="0.3">
      <c r="B106" s="78"/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</row>
    <row r="107" spans="2:29" s="12" customFormat="1" x14ac:dyDescent="0.3">
      <c r="B107" s="78"/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</row>
    <row r="108" spans="2:29" s="12" customFormat="1" x14ac:dyDescent="0.3">
      <c r="B108" s="78"/>
      <c r="C108" s="78"/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</row>
    <row r="109" spans="2:29" s="12" customFormat="1" x14ac:dyDescent="0.3">
      <c r="B109" s="78"/>
      <c r="C109" s="78"/>
      <c r="D109" s="78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</row>
    <row r="110" spans="2:29" s="12" customFormat="1" x14ac:dyDescent="0.3">
      <c r="B110" s="78"/>
      <c r="C110" s="78"/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</row>
    <row r="111" spans="2:29" s="12" customFormat="1" x14ac:dyDescent="0.3">
      <c r="B111" s="78"/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</row>
    <row r="112" spans="2:29" s="12" customFormat="1" x14ac:dyDescent="0.3">
      <c r="B112" s="78"/>
      <c r="C112" s="78"/>
      <c r="D112" s="78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</row>
    <row r="113" spans="2:29" s="12" customFormat="1" x14ac:dyDescent="0.3">
      <c r="B113" s="78"/>
      <c r="C113" s="78"/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</row>
    <row r="114" spans="2:29" s="12" customFormat="1" x14ac:dyDescent="0.3">
      <c r="B114" s="78"/>
      <c r="C114" s="78"/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</row>
    <row r="115" spans="2:29" s="12" customFormat="1" x14ac:dyDescent="0.3"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</row>
    <row r="116" spans="2:29" s="12" customFormat="1" x14ac:dyDescent="0.3">
      <c r="B116" s="78"/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</row>
    <row r="117" spans="2:29" s="12" customFormat="1" x14ac:dyDescent="0.3">
      <c r="B117" s="78"/>
      <c r="C117" s="78"/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</row>
    <row r="118" spans="2:29" s="12" customFormat="1" x14ac:dyDescent="0.3">
      <c r="B118" s="78"/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</row>
    <row r="119" spans="2:29" s="12" customFormat="1" x14ac:dyDescent="0.3">
      <c r="B119" s="78"/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</row>
    <row r="120" spans="2:29" s="12" customFormat="1" x14ac:dyDescent="0.3">
      <c r="B120" s="78"/>
      <c r="C120" s="78"/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</row>
    <row r="121" spans="2:29" s="12" customFormat="1" x14ac:dyDescent="0.3">
      <c r="B121" s="78"/>
      <c r="C121" s="78"/>
      <c r="D121" s="78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</row>
    <row r="122" spans="2:29" s="12" customFormat="1" x14ac:dyDescent="0.3">
      <c r="B122" s="78"/>
      <c r="C122" s="78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</row>
    <row r="123" spans="2:29" s="12" customFormat="1" x14ac:dyDescent="0.3">
      <c r="B123" s="78"/>
      <c r="C123" s="78"/>
      <c r="D123" s="78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</row>
    <row r="124" spans="2:29" s="12" customFormat="1" x14ac:dyDescent="0.3">
      <c r="B124" s="78"/>
      <c r="C124" s="78"/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</row>
    <row r="125" spans="2:29" s="12" customFormat="1" x14ac:dyDescent="0.3">
      <c r="B125" s="78"/>
      <c r="C125" s="78"/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</row>
    <row r="126" spans="2:29" s="12" customFormat="1" x14ac:dyDescent="0.3">
      <c r="B126" s="78"/>
      <c r="C126" s="78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</row>
    <row r="127" spans="2:29" s="12" customFormat="1" x14ac:dyDescent="0.3">
      <c r="B127" s="78"/>
      <c r="C127" s="78"/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</row>
    <row r="128" spans="2:29" s="12" customFormat="1" x14ac:dyDescent="0.3">
      <c r="B128" s="78"/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</row>
    <row r="129" spans="2:29" s="12" customFormat="1" x14ac:dyDescent="0.3">
      <c r="B129" s="78"/>
      <c r="C129" s="78"/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</row>
    <row r="130" spans="2:29" s="12" customFormat="1" x14ac:dyDescent="0.3">
      <c r="B130" s="78"/>
      <c r="C130" s="78"/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</row>
    <row r="131" spans="2:29" s="12" customFormat="1" x14ac:dyDescent="0.3">
      <c r="B131" s="78"/>
      <c r="C131" s="78"/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</row>
    <row r="132" spans="2:29" s="12" customFormat="1" x14ac:dyDescent="0.3">
      <c r="B132" s="78"/>
      <c r="C132" s="78"/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</row>
    <row r="133" spans="2:29" s="12" customFormat="1" x14ac:dyDescent="0.3">
      <c r="B133" s="78"/>
      <c r="C133" s="78"/>
      <c r="D133" s="78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</row>
    <row r="134" spans="2:29" s="12" customFormat="1" x14ac:dyDescent="0.3">
      <c r="B134" s="78"/>
      <c r="C134" s="78"/>
      <c r="D134" s="78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</row>
    <row r="135" spans="2:29" s="12" customFormat="1" x14ac:dyDescent="0.3">
      <c r="B135" s="78"/>
      <c r="C135" s="78"/>
      <c r="D135" s="78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</row>
    <row r="136" spans="2:29" s="12" customFormat="1" x14ac:dyDescent="0.3">
      <c r="B136" s="78"/>
      <c r="C136" s="78"/>
      <c r="D136" s="78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</row>
    <row r="137" spans="2:29" s="12" customFormat="1" x14ac:dyDescent="0.3">
      <c r="B137" s="78"/>
      <c r="C137" s="78"/>
      <c r="D137" s="78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</row>
    <row r="138" spans="2:29" s="12" customFormat="1" x14ac:dyDescent="0.3">
      <c r="B138" s="78"/>
      <c r="C138" s="78"/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</row>
    <row r="139" spans="2:29" s="12" customFormat="1" x14ac:dyDescent="0.3">
      <c r="B139" s="78"/>
      <c r="C139" s="78"/>
      <c r="D139" s="78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</row>
    <row r="140" spans="2:29" s="12" customFormat="1" x14ac:dyDescent="0.3"/>
    <row r="141" spans="2:29" s="12" customFormat="1" x14ac:dyDescent="0.3"/>
    <row r="142" spans="2:29" s="80" customFormat="1" ht="25.5" customHeight="1" x14ac:dyDescent="0.3">
      <c r="B142" s="81" t="s">
        <v>3</v>
      </c>
    </row>
    <row r="143" spans="2:29" s="12" customFormat="1" x14ac:dyDescent="0.3"/>
    <row r="144" spans="2:29" s="12" customFormat="1" x14ac:dyDescent="0.3"/>
    <row r="145" spans="2:28" s="12" customFormat="1" x14ac:dyDescent="0.3">
      <c r="B145" s="78"/>
      <c r="C145" s="78"/>
      <c r="D145" s="78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</row>
    <row r="146" spans="2:28" s="12" customFormat="1" x14ac:dyDescent="0.3">
      <c r="B146" s="78"/>
      <c r="C146" s="78"/>
      <c r="D146" s="78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</row>
    <row r="147" spans="2:28" s="12" customFormat="1" x14ac:dyDescent="0.3">
      <c r="B147" s="78"/>
      <c r="C147" s="78"/>
      <c r="D147" s="78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</row>
    <row r="148" spans="2:28" s="12" customFormat="1" x14ac:dyDescent="0.3">
      <c r="B148" s="78"/>
      <c r="C148" s="78"/>
      <c r="D148" s="78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</row>
    <row r="149" spans="2:28" s="12" customFormat="1" x14ac:dyDescent="0.3">
      <c r="B149" s="78"/>
      <c r="C149" s="78"/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</row>
    <row r="150" spans="2:28" s="12" customFormat="1" x14ac:dyDescent="0.3">
      <c r="B150" s="78"/>
      <c r="C150" s="78"/>
      <c r="D150" s="78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</row>
    <row r="151" spans="2:28" s="12" customFormat="1" x14ac:dyDescent="0.3">
      <c r="B151" s="78"/>
      <c r="C151" s="78"/>
      <c r="D151" s="78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</row>
    <row r="152" spans="2:28" s="12" customFormat="1" x14ac:dyDescent="0.3">
      <c r="B152" s="78"/>
      <c r="C152" s="78"/>
      <c r="D152" s="78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</row>
    <row r="153" spans="2:28" s="12" customFormat="1" x14ac:dyDescent="0.3">
      <c r="B153" s="78"/>
      <c r="C153" s="78"/>
      <c r="D153" s="78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</row>
    <row r="154" spans="2:28" s="12" customFormat="1" x14ac:dyDescent="0.3">
      <c r="B154" s="78"/>
      <c r="C154" s="78"/>
      <c r="D154" s="78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</row>
    <row r="155" spans="2:28" s="12" customFormat="1" x14ac:dyDescent="0.3">
      <c r="B155" s="78"/>
      <c r="C155" s="78"/>
      <c r="D155" s="78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</row>
    <row r="156" spans="2:28" s="12" customFormat="1" x14ac:dyDescent="0.3">
      <c r="B156" s="78"/>
      <c r="C156" s="78"/>
      <c r="D156" s="78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</row>
    <row r="157" spans="2:28" s="12" customFormat="1" x14ac:dyDescent="0.3">
      <c r="B157" s="78"/>
      <c r="C157" s="78"/>
      <c r="D157" s="78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</row>
    <row r="158" spans="2:28" s="12" customFormat="1" x14ac:dyDescent="0.3">
      <c r="B158" s="78"/>
      <c r="C158" s="78"/>
      <c r="D158" s="78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</row>
    <row r="159" spans="2:28" s="12" customFormat="1" x14ac:dyDescent="0.3">
      <c r="B159" s="78"/>
      <c r="C159" s="78"/>
      <c r="D159" s="78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</row>
    <row r="160" spans="2:28" s="12" customFormat="1" x14ac:dyDescent="0.3">
      <c r="B160" s="78"/>
      <c r="C160" s="78"/>
      <c r="D160" s="78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</row>
    <row r="161" spans="2:28" s="12" customFormat="1" x14ac:dyDescent="0.3">
      <c r="B161" s="78"/>
      <c r="C161" s="78"/>
      <c r="D161" s="78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</row>
    <row r="162" spans="2:28" s="12" customFormat="1" x14ac:dyDescent="0.3">
      <c r="B162" s="78"/>
      <c r="C162" s="78"/>
      <c r="D162" s="78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</row>
    <row r="163" spans="2:28" s="12" customFormat="1" x14ac:dyDescent="0.3">
      <c r="B163" s="78"/>
      <c r="C163" s="78"/>
      <c r="D163" s="78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</row>
    <row r="164" spans="2:28" s="12" customFormat="1" x14ac:dyDescent="0.3">
      <c r="B164" s="78"/>
      <c r="C164" s="78"/>
      <c r="D164" s="78"/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</row>
    <row r="165" spans="2:28" s="12" customFormat="1" x14ac:dyDescent="0.3">
      <c r="B165" s="78"/>
      <c r="C165" s="78"/>
      <c r="D165" s="78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</row>
    <row r="166" spans="2:28" s="12" customFormat="1" x14ac:dyDescent="0.3">
      <c r="B166" s="78"/>
      <c r="C166" s="78"/>
      <c r="D166" s="78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</row>
    <row r="167" spans="2:28" s="12" customFormat="1" x14ac:dyDescent="0.3">
      <c r="B167" s="78"/>
      <c r="C167" s="78"/>
      <c r="D167" s="78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</row>
    <row r="168" spans="2:28" s="12" customFormat="1" x14ac:dyDescent="0.3">
      <c r="B168" s="78"/>
      <c r="C168" s="78"/>
      <c r="D168" s="78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</row>
    <row r="169" spans="2:28" s="12" customFormat="1" x14ac:dyDescent="0.3">
      <c r="B169" s="78"/>
      <c r="C169" s="78"/>
      <c r="D169" s="78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</row>
    <row r="170" spans="2:28" s="12" customFormat="1" x14ac:dyDescent="0.3"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  <c r="AA170" s="41"/>
      <c r="AB170" s="41"/>
    </row>
    <row r="171" spans="2:28" s="12" customFormat="1" x14ac:dyDescent="0.3">
      <c r="B171" s="78"/>
      <c r="C171" s="78"/>
      <c r="D171" s="78"/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</row>
    <row r="172" spans="2:28" s="12" customFormat="1" x14ac:dyDescent="0.3">
      <c r="B172" s="78"/>
      <c r="C172" s="78"/>
      <c r="D172" s="78"/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</row>
    <row r="173" spans="2:28" s="12" customFormat="1" x14ac:dyDescent="0.3">
      <c r="B173" s="78"/>
      <c r="C173" s="78"/>
      <c r="D173" s="78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</row>
    <row r="174" spans="2:28" s="12" customFormat="1" x14ac:dyDescent="0.3">
      <c r="B174" s="78"/>
      <c r="C174" s="78"/>
      <c r="D174" s="78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</row>
    <row r="175" spans="2:28" s="12" customFormat="1" x14ac:dyDescent="0.3">
      <c r="B175" s="78"/>
      <c r="C175" s="78"/>
      <c r="D175" s="78"/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</row>
    <row r="176" spans="2:28" s="12" customFormat="1" x14ac:dyDescent="0.3">
      <c r="B176" s="78"/>
      <c r="C176" s="78"/>
      <c r="D176" s="78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</row>
    <row r="177" spans="2:28" s="12" customFormat="1" x14ac:dyDescent="0.3">
      <c r="B177" s="78"/>
      <c r="C177" s="78"/>
      <c r="D177" s="78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</row>
    <row r="178" spans="2:28" s="12" customFormat="1" x14ac:dyDescent="0.3">
      <c r="B178" s="78"/>
      <c r="C178" s="78"/>
      <c r="D178" s="78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</row>
    <row r="179" spans="2:28" s="12" customFormat="1" x14ac:dyDescent="0.3">
      <c r="B179" s="78"/>
      <c r="C179" s="78"/>
      <c r="D179" s="78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</row>
    <row r="180" spans="2:28" s="12" customFormat="1" x14ac:dyDescent="0.3">
      <c r="B180" s="78"/>
      <c r="C180" s="78"/>
      <c r="D180" s="78"/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</row>
    <row r="181" spans="2:28" s="12" customFormat="1" x14ac:dyDescent="0.3">
      <c r="B181" s="78"/>
      <c r="C181" s="78"/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</row>
    <row r="182" spans="2:28" s="12" customFormat="1" x14ac:dyDescent="0.3">
      <c r="B182" s="78"/>
      <c r="C182" s="78"/>
      <c r="D182" s="78"/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</row>
    <row r="183" spans="2:28" s="12" customFormat="1" x14ac:dyDescent="0.3">
      <c r="B183" s="78"/>
      <c r="C183" s="78"/>
      <c r="D183" s="78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</row>
    <row r="184" spans="2:28" s="12" customFormat="1" x14ac:dyDescent="0.3">
      <c r="B184" s="78"/>
      <c r="C184" s="78"/>
      <c r="D184" s="78"/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</row>
    <row r="185" spans="2:28" s="12" customFormat="1" x14ac:dyDescent="0.3">
      <c r="B185" s="78"/>
      <c r="C185" s="78"/>
      <c r="D185" s="78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</row>
    <row r="186" spans="2:28" s="12" customFormat="1" x14ac:dyDescent="0.3">
      <c r="B186" s="78"/>
      <c r="C186" s="78"/>
      <c r="D186" s="78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</row>
    <row r="187" spans="2:28" s="12" customFormat="1" x14ac:dyDescent="0.3">
      <c r="B187" s="78"/>
      <c r="C187" s="78"/>
      <c r="D187" s="78"/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</row>
    <row r="188" spans="2:28" s="12" customFormat="1" x14ac:dyDescent="0.3">
      <c r="B188" s="78"/>
      <c r="C188" s="78"/>
      <c r="D188" s="78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</row>
    <row r="189" spans="2:28" s="12" customFormat="1" x14ac:dyDescent="0.3">
      <c r="B189" s="78"/>
      <c r="C189" s="78"/>
      <c r="D189" s="78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</row>
    <row r="190" spans="2:28" s="12" customFormat="1" x14ac:dyDescent="0.3">
      <c r="B190" s="78"/>
      <c r="C190" s="78"/>
      <c r="D190" s="78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</row>
    <row r="191" spans="2:28" s="12" customFormat="1" x14ac:dyDescent="0.3">
      <c r="B191" s="78"/>
      <c r="C191" s="78"/>
      <c r="D191" s="78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</row>
    <row r="192" spans="2:28" s="12" customFormat="1" x14ac:dyDescent="0.3">
      <c r="B192" s="78"/>
      <c r="C192" s="78"/>
      <c r="D192" s="78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</row>
    <row r="193" spans="2:28" s="12" customFormat="1" x14ac:dyDescent="0.3">
      <c r="B193" s="78"/>
      <c r="C193" s="78"/>
      <c r="D193" s="78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</row>
    <row r="194" spans="2:28" s="12" customFormat="1" x14ac:dyDescent="0.3">
      <c r="B194" s="78"/>
      <c r="C194" s="78"/>
      <c r="D194" s="78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</row>
    <row r="195" spans="2:28" s="12" customFormat="1" x14ac:dyDescent="0.3">
      <c r="B195" s="78"/>
      <c r="C195" s="78"/>
      <c r="D195" s="78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</row>
    <row r="196" spans="2:28" s="12" customFormat="1" ht="20.25" customHeight="1" x14ac:dyDescent="0.3"/>
    <row r="197" spans="2:28" s="12" customFormat="1" x14ac:dyDescent="0.3">
      <c r="B197" s="78"/>
      <c r="C197" s="78"/>
      <c r="D197" s="78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</row>
    <row r="198" spans="2:28" s="12" customFormat="1" x14ac:dyDescent="0.3">
      <c r="B198" s="78"/>
      <c r="C198" s="78"/>
      <c r="D198" s="78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</row>
    <row r="199" spans="2:28" s="12" customFormat="1" x14ac:dyDescent="0.3">
      <c r="B199" s="78"/>
      <c r="C199" s="78"/>
      <c r="D199" s="78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</row>
    <row r="200" spans="2:28" s="12" customFormat="1" x14ac:dyDescent="0.3">
      <c r="B200" s="78"/>
      <c r="C200" s="78"/>
      <c r="D200" s="78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</row>
    <row r="201" spans="2:28" s="12" customFormat="1" x14ac:dyDescent="0.3">
      <c r="B201" s="78"/>
      <c r="C201" s="78"/>
      <c r="D201" s="78"/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</row>
    <row r="202" spans="2:28" s="12" customFormat="1" x14ac:dyDescent="0.3">
      <c r="B202" s="78"/>
      <c r="C202" s="78"/>
      <c r="D202" s="78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</row>
    <row r="203" spans="2:28" s="12" customFormat="1" x14ac:dyDescent="0.3">
      <c r="B203" s="78"/>
      <c r="C203" s="78"/>
      <c r="D203" s="78"/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</row>
    <row r="204" spans="2:28" s="12" customFormat="1" x14ac:dyDescent="0.3">
      <c r="B204" s="78"/>
      <c r="C204" s="78"/>
      <c r="D204" s="78"/>
      <c r="E204" s="78"/>
      <c r="F204" s="78"/>
      <c r="G204" s="78"/>
      <c r="H204" s="78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</row>
    <row r="205" spans="2:28" s="12" customFormat="1" x14ac:dyDescent="0.3">
      <c r="B205" s="78"/>
      <c r="C205" s="78"/>
      <c r="D205" s="78"/>
      <c r="E205" s="78"/>
      <c r="F205" s="78"/>
      <c r="G205" s="78"/>
      <c r="H205" s="78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</row>
    <row r="206" spans="2:28" s="12" customFormat="1" x14ac:dyDescent="0.3">
      <c r="B206" s="78"/>
      <c r="C206" s="78"/>
      <c r="D206" s="78"/>
      <c r="E206" s="78"/>
      <c r="F206" s="78"/>
      <c r="G206" s="78"/>
      <c r="H206" s="78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</row>
    <row r="207" spans="2:28" s="12" customFormat="1" x14ac:dyDescent="0.3">
      <c r="B207" s="78"/>
      <c r="C207" s="78"/>
      <c r="D207" s="78"/>
      <c r="E207" s="78"/>
      <c r="F207" s="78"/>
      <c r="G207" s="78"/>
      <c r="H207" s="78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</row>
    <row r="208" spans="2:28" s="12" customFormat="1" x14ac:dyDescent="0.3">
      <c r="B208" s="78"/>
      <c r="C208" s="78"/>
      <c r="D208" s="78"/>
      <c r="E208" s="78"/>
      <c r="F208" s="78"/>
      <c r="G208" s="78"/>
      <c r="H208" s="78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</row>
    <row r="209" spans="2:28" s="12" customFormat="1" x14ac:dyDescent="0.3">
      <c r="B209" s="78"/>
      <c r="C209" s="78"/>
      <c r="D209" s="78"/>
      <c r="E209" s="78"/>
      <c r="F209" s="78"/>
      <c r="G209" s="78"/>
      <c r="H209" s="78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</row>
    <row r="210" spans="2:28" s="12" customFormat="1" x14ac:dyDescent="0.3">
      <c r="B210" s="78"/>
      <c r="C210" s="78"/>
      <c r="D210" s="78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</row>
    <row r="211" spans="2:28" s="12" customFormat="1" x14ac:dyDescent="0.3">
      <c r="B211" s="78"/>
      <c r="C211" s="78"/>
      <c r="D211" s="78"/>
      <c r="E211" s="78"/>
      <c r="F211" s="78"/>
      <c r="G211" s="78"/>
      <c r="H211" s="78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</row>
    <row r="212" spans="2:28" s="12" customFormat="1" x14ac:dyDescent="0.3">
      <c r="B212" s="78"/>
      <c r="C212" s="78"/>
      <c r="D212" s="78"/>
      <c r="E212" s="78"/>
      <c r="F212" s="78"/>
      <c r="G212" s="78"/>
      <c r="H212" s="78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</row>
    <row r="213" spans="2:28" s="12" customFormat="1" x14ac:dyDescent="0.3">
      <c r="B213" s="78"/>
      <c r="C213" s="78"/>
      <c r="D213" s="78"/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</row>
    <row r="214" spans="2:28" s="12" customFormat="1" x14ac:dyDescent="0.3">
      <c r="B214" s="78"/>
      <c r="C214" s="78"/>
      <c r="D214" s="78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</row>
    <row r="215" spans="2:28" s="12" customFormat="1" x14ac:dyDescent="0.3">
      <c r="B215" s="78"/>
      <c r="C215" s="78"/>
      <c r="D215" s="78"/>
      <c r="E215" s="78"/>
      <c r="F215" s="78"/>
      <c r="G215" s="78"/>
      <c r="H215" s="78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</row>
    <row r="216" spans="2:28" s="12" customFormat="1" x14ac:dyDescent="0.3">
      <c r="B216" s="78"/>
      <c r="C216" s="78"/>
      <c r="D216" s="78"/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</row>
    <row r="217" spans="2:28" s="12" customFormat="1" x14ac:dyDescent="0.3">
      <c r="B217" s="78"/>
      <c r="C217" s="78"/>
      <c r="D217" s="78"/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</row>
    <row r="218" spans="2:28" s="12" customFormat="1" x14ac:dyDescent="0.3">
      <c r="B218" s="78"/>
      <c r="C218" s="78"/>
      <c r="D218" s="78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</row>
    <row r="219" spans="2:28" s="12" customFormat="1" x14ac:dyDescent="0.3">
      <c r="B219" s="78"/>
      <c r="C219" s="78"/>
      <c r="D219" s="78"/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</row>
    <row r="220" spans="2:28" s="12" customFormat="1" x14ac:dyDescent="0.3">
      <c r="B220" s="78"/>
      <c r="C220" s="78"/>
      <c r="D220" s="78"/>
      <c r="E220" s="78"/>
      <c r="F220" s="78"/>
      <c r="G220" s="78"/>
      <c r="H220" s="78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</row>
    <row r="221" spans="2:28" s="12" customFormat="1" x14ac:dyDescent="0.3"/>
    <row r="222" spans="2:28" s="12" customFormat="1" x14ac:dyDescent="0.3"/>
    <row r="223" spans="2:28" s="12" customFormat="1" x14ac:dyDescent="0.3"/>
    <row r="224" spans="2:28" s="12" customFormat="1" hidden="1" x14ac:dyDescent="0.3"/>
    <row r="225" s="12" customFormat="1" hidden="1" x14ac:dyDescent="0.3"/>
    <row r="226" s="12" customFormat="1" hidden="1" x14ac:dyDescent="0.3"/>
    <row r="227" s="12" customFormat="1" hidden="1" x14ac:dyDescent="0.3"/>
    <row r="228" s="12" customFormat="1" hidden="1" x14ac:dyDescent="0.3"/>
    <row r="229" s="12" customFormat="1" hidden="1" x14ac:dyDescent="0.3"/>
    <row r="230" s="12" customFormat="1" hidden="1" x14ac:dyDescent="0.3"/>
    <row r="231" s="12" customFormat="1" hidden="1" x14ac:dyDescent="0.3"/>
    <row r="232" s="12" customFormat="1" hidden="1" x14ac:dyDescent="0.3"/>
    <row r="233" s="12" customFormat="1" hidden="1" x14ac:dyDescent="0.3"/>
    <row r="234" s="12" customFormat="1" hidden="1" x14ac:dyDescent="0.3"/>
    <row r="235" s="12" customFormat="1" hidden="1" x14ac:dyDescent="0.3"/>
    <row r="236" s="12" customFormat="1" hidden="1" x14ac:dyDescent="0.3"/>
    <row r="237" s="12" customFormat="1" hidden="1" x14ac:dyDescent="0.3"/>
    <row r="238" s="12" customFormat="1" hidden="1" x14ac:dyDescent="0.3"/>
    <row r="239" s="12" customFormat="1" hidden="1" x14ac:dyDescent="0.3"/>
    <row r="240" s="12" customFormat="1" hidden="1" x14ac:dyDescent="0.3"/>
    <row r="241" s="12" customFormat="1" hidden="1" x14ac:dyDescent="0.3"/>
    <row r="242" s="12" customFormat="1" hidden="1" x14ac:dyDescent="0.3"/>
    <row r="243" s="12" customFormat="1" hidden="1" x14ac:dyDescent="0.3"/>
    <row r="244" s="12" customFormat="1" hidden="1" x14ac:dyDescent="0.3"/>
    <row r="245" s="12" customFormat="1" hidden="1" x14ac:dyDescent="0.3"/>
    <row r="246" s="12" customFormat="1" hidden="1" x14ac:dyDescent="0.3"/>
    <row r="247" s="12" customFormat="1" hidden="1" x14ac:dyDescent="0.3"/>
    <row r="248" s="12" customFormat="1" hidden="1" x14ac:dyDescent="0.3"/>
    <row r="249" s="12" customFormat="1" hidden="1" x14ac:dyDescent="0.3"/>
    <row r="250" s="12" customFormat="1" hidden="1" x14ac:dyDescent="0.3"/>
    <row r="251" s="12" customFormat="1" hidden="1" x14ac:dyDescent="0.3"/>
    <row r="252" s="12" customFormat="1" hidden="1" x14ac:dyDescent="0.3"/>
    <row r="253" s="12" customFormat="1" hidden="1" x14ac:dyDescent="0.3"/>
    <row r="254" s="12" customFormat="1" hidden="1" x14ac:dyDescent="0.3"/>
    <row r="255" s="12" customFormat="1" hidden="1" x14ac:dyDescent="0.3"/>
    <row r="256" s="12" customFormat="1" hidden="1" x14ac:dyDescent="0.3"/>
    <row r="257" s="12" customFormat="1" hidden="1" x14ac:dyDescent="0.3"/>
    <row r="258" s="12" customFormat="1" hidden="1" x14ac:dyDescent="0.3"/>
    <row r="259" s="12" customFormat="1" hidden="1" x14ac:dyDescent="0.3"/>
    <row r="260" s="12" customFormat="1" hidden="1" x14ac:dyDescent="0.3"/>
    <row r="261" s="12" customFormat="1" hidden="1" x14ac:dyDescent="0.3"/>
    <row r="262" s="12" customFormat="1" hidden="1" x14ac:dyDescent="0.3"/>
    <row r="263" s="12" customFormat="1" hidden="1" x14ac:dyDescent="0.3"/>
    <row r="264" s="12" customFormat="1" hidden="1" x14ac:dyDescent="0.3"/>
    <row r="265" s="12" customFormat="1" hidden="1" x14ac:dyDescent="0.3"/>
    <row r="266" s="12" customFormat="1" hidden="1" x14ac:dyDescent="0.3"/>
    <row r="267" s="12" customFormat="1" hidden="1" x14ac:dyDescent="0.3"/>
    <row r="268" s="12" customFormat="1" hidden="1" x14ac:dyDescent="0.3"/>
    <row r="269" s="12" customFormat="1" hidden="1" x14ac:dyDescent="0.3"/>
    <row r="270" s="12" customFormat="1" hidden="1" x14ac:dyDescent="0.3"/>
    <row r="271" s="12" customFormat="1" hidden="1" x14ac:dyDescent="0.3"/>
    <row r="272" s="12" customFormat="1" hidden="1" x14ac:dyDescent="0.3"/>
    <row r="273" s="12" customFormat="1" hidden="1" x14ac:dyDescent="0.3"/>
    <row r="274" s="12" customFormat="1" hidden="1" x14ac:dyDescent="0.3"/>
    <row r="275" s="12" customFormat="1" hidden="1" x14ac:dyDescent="0.3"/>
    <row r="276" s="12" customFormat="1" hidden="1" x14ac:dyDescent="0.3"/>
    <row r="277" s="12" customFormat="1" hidden="1" x14ac:dyDescent="0.3"/>
    <row r="278" s="12" customFormat="1" hidden="1" x14ac:dyDescent="0.3"/>
    <row r="279" s="12" customFormat="1" hidden="1" x14ac:dyDescent="0.3"/>
    <row r="280" s="12" customFormat="1" hidden="1" x14ac:dyDescent="0.3"/>
    <row r="281" s="12" customFormat="1" hidden="1" x14ac:dyDescent="0.3"/>
    <row r="282" s="12" customFormat="1" hidden="1" x14ac:dyDescent="0.3"/>
    <row r="283" s="12" customFormat="1" hidden="1" x14ac:dyDescent="0.3"/>
    <row r="284" s="12" customFormat="1" hidden="1" x14ac:dyDescent="0.3"/>
    <row r="285" s="12" customFormat="1" hidden="1" x14ac:dyDescent="0.3"/>
    <row r="286" s="12" customFormat="1" hidden="1" x14ac:dyDescent="0.3"/>
    <row r="287" s="12" customFormat="1" hidden="1" x14ac:dyDescent="0.3"/>
    <row r="288" s="12" customFormat="1" hidden="1" x14ac:dyDescent="0.3"/>
    <row r="289" s="12" customFormat="1" hidden="1" x14ac:dyDescent="0.3"/>
    <row r="290" s="12" customFormat="1" hidden="1" x14ac:dyDescent="0.3"/>
    <row r="291" s="12" customFormat="1" hidden="1" x14ac:dyDescent="0.3"/>
    <row r="292" s="12" customFormat="1" hidden="1" x14ac:dyDescent="0.3"/>
    <row r="293" s="12" customFormat="1" hidden="1" x14ac:dyDescent="0.3"/>
    <row r="294" s="12" customFormat="1" hidden="1" x14ac:dyDescent="0.3"/>
    <row r="295" s="12" customFormat="1" hidden="1" x14ac:dyDescent="0.3"/>
    <row r="296" s="12" customFormat="1" hidden="1" x14ac:dyDescent="0.3"/>
    <row r="297" s="12" customFormat="1" hidden="1" x14ac:dyDescent="0.3"/>
    <row r="298" s="12" customFormat="1" hidden="1" x14ac:dyDescent="0.3"/>
    <row r="299" s="12" customFormat="1" hidden="1" x14ac:dyDescent="0.3"/>
    <row r="300" s="12" customFormat="1" hidden="1" x14ac:dyDescent="0.3"/>
    <row r="301" s="12" customFormat="1" hidden="1" x14ac:dyDescent="0.3"/>
    <row r="302" s="12" customFormat="1" hidden="1" x14ac:dyDescent="0.3"/>
    <row r="303" s="12" customFormat="1" hidden="1" x14ac:dyDescent="0.3"/>
    <row r="304" s="12" customFormat="1" hidden="1" x14ac:dyDescent="0.3"/>
    <row r="305" s="12" customFormat="1" hidden="1" x14ac:dyDescent="0.3"/>
    <row r="306" s="12" customFormat="1" hidden="1" x14ac:dyDescent="0.3"/>
    <row r="307" s="12" customFormat="1" hidden="1" x14ac:dyDescent="0.3"/>
    <row r="308" s="12" customFormat="1" hidden="1" x14ac:dyDescent="0.3"/>
    <row r="309" s="12" customFormat="1" hidden="1" x14ac:dyDescent="0.3"/>
    <row r="310" s="12" customFormat="1" hidden="1" x14ac:dyDescent="0.3"/>
    <row r="311" s="12" customFormat="1" hidden="1" x14ac:dyDescent="0.3"/>
    <row r="312" s="12" customFormat="1" hidden="1" x14ac:dyDescent="0.3"/>
    <row r="313" s="12" customFormat="1" hidden="1" x14ac:dyDescent="0.3"/>
    <row r="314" s="12" customFormat="1" hidden="1" x14ac:dyDescent="0.3"/>
    <row r="315" s="12" customFormat="1" hidden="1" x14ac:dyDescent="0.3"/>
    <row r="316" s="12" customFormat="1" hidden="1" x14ac:dyDescent="0.3"/>
    <row r="317" s="12" customFormat="1" hidden="1" x14ac:dyDescent="0.3"/>
    <row r="318" s="12" customFormat="1" hidden="1" x14ac:dyDescent="0.3"/>
    <row r="319" s="12" customFormat="1" hidden="1" x14ac:dyDescent="0.3"/>
    <row r="320" s="12" customFormat="1" hidden="1" x14ac:dyDescent="0.3"/>
    <row r="321" s="12" customFormat="1" hidden="1" x14ac:dyDescent="0.3"/>
    <row r="322" s="12" customFormat="1" hidden="1" x14ac:dyDescent="0.3"/>
    <row r="323" s="12" customFormat="1" hidden="1" x14ac:dyDescent="0.3"/>
    <row r="324" s="12" customFormat="1" hidden="1" x14ac:dyDescent="0.3"/>
    <row r="325" s="12" customFormat="1" hidden="1" x14ac:dyDescent="0.3"/>
    <row r="326" s="12" customFormat="1" hidden="1" x14ac:dyDescent="0.3"/>
    <row r="327" s="12" customFormat="1" hidden="1" x14ac:dyDescent="0.3"/>
    <row r="328" s="12" customFormat="1" hidden="1" x14ac:dyDescent="0.3"/>
    <row r="329" s="12" customFormat="1" hidden="1" x14ac:dyDescent="0.3"/>
    <row r="330" s="12" customFormat="1" hidden="1" x14ac:dyDescent="0.3"/>
    <row r="331" s="12" customFormat="1" hidden="1" x14ac:dyDescent="0.3"/>
    <row r="332" s="12" customFormat="1" hidden="1" x14ac:dyDescent="0.3"/>
    <row r="333" s="12" customFormat="1" hidden="1" x14ac:dyDescent="0.3"/>
    <row r="334" s="12" customFormat="1" hidden="1" x14ac:dyDescent="0.3"/>
    <row r="335" s="12" customFormat="1" hidden="1" x14ac:dyDescent="0.3"/>
    <row r="336" s="12" customFormat="1" hidden="1" x14ac:dyDescent="0.3"/>
    <row r="337" s="12" customFormat="1" hidden="1" x14ac:dyDescent="0.3"/>
    <row r="338" s="12" customFormat="1" hidden="1" x14ac:dyDescent="0.3"/>
    <row r="339" s="12" customFormat="1" hidden="1" x14ac:dyDescent="0.3"/>
    <row r="340" s="12" customFormat="1" hidden="1" x14ac:dyDescent="0.3"/>
    <row r="341" s="12" customFormat="1" hidden="1" x14ac:dyDescent="0.3"/>
    <row r="342" s="12" customFormat="1" hidden="1" x14ac:dyDescent="0.3"/>
    <row r="343" s="12" customFormat="1" hidden="1" x14ac:dyDescent="0.3"/>
    <row r="344" s="12" customFormat="1" hidden="1" x14ac:dyDescent="0.3"/>
    <row r="345" s="12" customFormat="1" hidden="1" x14ac:dyDescent="0.3"/>
    <row r="346" s="12" customFormat="1" hidden="1" x14ac:dyDescent="0.3"/>
    <row r="347" s="12" customFormat="1" hidden="1" x14ac:dyDescent="0.3"/>
    <row r="348" s="12" customFormat="1" hidden="1" x14ac:dyDescent="0.3"/>
    <row r="349" s="12" customFormat="1" hidden="1" x14ac:dyDescent="0.3"/>
    <row r="350" s="12" customFormat="1" hidden="1" x14ac:dyDescent="0.3"/>
    <row r="351" s="12" customFormat="1" hidden="1" x14ac:dyDescent="0.3"/>
    <row r="352" s="12" customFormat="1" hidden="1" x14ac:dyDescent="0.3"/>
    <row r="353" s="12" customFormat="1" hidden="1" x14ac:dyDescent="0.3"/>
    <row r="354" s="12" customFormat="1" hidden="1" x14ac:dyDescent="0.3"/>
    <row r="355" s="12" customFormat="1" hidden="1" x14ac:dyDescent="0.3"/>
    <row r="356" s="12" customFormat="1" hidden="1" x14ac:dyDescent="0.3"/>
    <row r="357" s="12" customFormat="1" hidden="1" x14ac:dyDescent="0.3"/>
    <row r="358" s="12" customFormat="1" hidden="1" x14ac:dyDescent="0.3"/>
    <row r="359" s="12" customFormat="1" hidden="1" x14ac:dyDescent="0.3"/>
    <row r="360" s="12" customFormat="1" hidden="1" x14ac:dyDescent="0.3"/>
    <row r="361" s="12" customFormat="1" hidden="1" x14ac:dyDescent="0.3"/>
    <row r="362" s="12" customFormat="1" hidden="1" x14ac:dyDescent="0.3"/>
    <row r="363" s="12" customFormat="1" hidden="1" x14ac:dyDescent="0.3"/>
    <row r="364" s="12" customFormat="1" hidden="1" x14ac:dyDescent="0.3"/>
    <row r="365" s="12" customFormat="1" hidden="1" x14ac:dyDescent="0.3"/>
    <row r="366" s="12" customFormat="1" hidden="1" x14ac:dyDescent="0.3"/>
    <row r="367" s="12" customFormat="1" hidden="1" x14ac:dyDescent="0.3"/>
    <row r="368" s="12" customFormat="1" hidden="1" x14ac:dyDescent="0.3"/>
    <row r="369" s="12" customFormat="1" hidden="1" x14ac:dyDescent="0.3"/>
    <row r="370" s="12" customFormat="1" hidden="1" x14ac:dyDescent="0.3"/>
    <row r="371" s="12" customFormat="1" hidden="1" x14ac:dyDescent="0.3"/>
    <row r="372" s="12" customFormat="1" hidden="1" x14ac:dyDescent="0.3"/>
    <row r="373" s="12" customFormat="1" hidden="1" x14ac:dyDescent="0.3"/>
    <row r="374" s="12" customFormat="1" hidden="1" x14ac:dyDescent="0.3"/>
    <row r="375" s="12" customFormat="1" hidden="1" x14ac:dyDescent="0.3"/>
    <row r="376" s="12" customFormat="1" hidden="1" x14ac:dyDescent="0.3"/>
    <row r="377" s="12" customFormat="1" hidden="1" x14ac:dyDescent="0.3"/>
    <row r="378" s="12" customFormat="1" hidden="1" x14ac:dyDescent="0.3"/>
    <row r="379" s="12" customFormat="1" hidden="1" x14ac:dyDescent="0.3"/>
    <row r="380" s="12" customFormat="1" hidden="1" x14ac:dyDescent="0.3"/>
    <row r="381" s="12" customFormat="1" hidden="1" x14ac:dyDescent="0.3"/>
    <row r="382" s="12" customFormat="1" hidden="1" x14ac:dyDescent="0.3"/>
    <row r="383" s="12" customFormat="1" hidden="1" x14ac:dyDescent="0.3"/>
    <row r="384" s="12" customFormat="1" hidden="1" x14ac:dyDescent="0.3"/>
    <row r="385" s="12" customFormat="1" hidden="1" x14ac:dyDescent="0.3"/>
    <row r="386" s="12" customFormat="1" hidden="1" x14ac:dyDescent="0.3"/>
    <row r="387" s="12" customFormat="1" hidden="1" x14ac:dyDescent="0.3"/>
    <row r="388" s="12" customFormat="1" hidden="1" x14ac:dyDescent="0.3"/>
    <row r="389" s="12" customFormat="1" hidden="1" x14ac:dyDescent="0.3"/>
    <row r="390" s="12" customFormat="1" hidden="1" x14ac:dyDescent="0.3"/>
    <row r="391" s="12" customFormat="1" hidden="1" x14ac:dyDescent="0.3"/>
    <row r="392" s="12" customFormat="1" hidden="1" x14ac:dyDescent="0.3"/>
    <row r="393" s="12" customFormat="1" hidden="1" x14ac:dyDescent="0.3"/>
    <row r="394" s="12" customFormat="1" hidden="1" x14ac:dyDescent="0.3"/>
    <row r="395" s="12" customFormat="1" hidden="1" x14ac:dyDescent="0.3"/>
    <row r="396" s="12" customFormat="1" hidden="1" x14ac:dyDescent="0.3"/>
    <row r="397" s="12" customFormat="1" hidden="1" x14ac:dyDescent="0.3"/>
    <row r="398" s="12" customFormat="1" hidden="1" x14ac:dyDescent="0.3"/>
    <row r="399" s="12" customFormat="1" hidden="1" x14ac:dyDescent="0.3"/>
    <row r="400" s="12" customFormat="1" hidden="1" x14ac:dyDescent="0.3"/>
    <row r="401" s="12" customFormat="1" hidden="1" x14ac:dyDescent="0.3"/>
    <row r="402" s="12" customFormat="1" hidden="1" x14ac:dyDescent="0.3"/>
    <row r="403" s="12" customFormat="1" hidden="1" x14ac:dyDescent="0.3"/>
    <row r="404" s="12" customFormat="1" hidden="1" x14ac:dyDescent="0.3"/>
    <row r="405" s="12" customFormat="1" hidden="1" x14ac:dyDescent="0.3"/>
    <row r="406" s="12" customFormat="1" hidden="1" x14ac:dyDescent="0.3"/>
    <row r="407" s="12" customFormat="1" hidden="1" x14ac:dyDescent="0.3"/>
    <row r="408" s="12" customFormat="1" hidden="1" x14ac:dyDescent="0.3"/>
    <row r="409" s="12" customFormat="1" hidden="1" x14ac:dyDescent="0.3"/>
    <row r="410" s="12" customFormat="1" hidden="1" x14ac:dyDescent="0.3"/>
    <row r="411" s="12" customFormat="1" hidden="1" x14ac:dyDescent="0.3"/>
    <row r="412" s="12" customFormat="1" hidden="1" x14ac:dyDescent="0.3"/>
    <row r="413" s="12" customFormat="1" hidden="1" x14ac:dyDescent="0.3"/>
    <row r="414" s="12" customFormat="1" hidden="1" x14ac:dyDescent="0.3"/>
    <row r="415" s="12" customFormat="1" hidden="1" x14ac:dyDescent="0.3"/>
    <row r="416" s="12" customFormat="1" hidden="1" x14ac:dyDescent="0.3"/>
    <row r="417" s="12" customFormat="1" hidden="1" x14ac:dyDescent="0.3"/>
    <row r="418" s="12" customFormat="1" hidden="1" x14ac:dyDescent="0.3"/>
    <row r="419" s="12" customFormat="1" hidden="1" x14ac:dyDescent="0.3"/>
    <row r="420" s="12" customFormat="1" hidden="1" x14ac:dyDescent="0.3"/>
    <row r="421" s="12" customFormat="1" hidden="1" x14ac:dyDescent="0.3"/>
    <row r="422" s="12" customFormat="1" hidden="1" x14ac:dyDescent="0.3"/>
    <row r="423" s="12" customFormat="1" hidden="1" x14ac:dyDescent="0.3"/>
    <row r="424" s="12" customFormat="1" hidden="1" x14ac:dyDescent="0.3"/>
    <row r="425" s="12" customFormat="1" hidden="1" x14ac:dyDescent="0.3"/>
    <row r="426" s="12" customFormat="1" hidden="1" x14ac:dyDescent="0.3"/>
    <row r="427" s="12" customFormat="1" hidden="1" x14ac:dyDescent="0.3"/>
    <row r="428" s="12" customFormat="1" hidden="1" x14ac:dyDescent="0.3"/>
    <row r="429" s="12" customFormat="1" hidden="1" x14ac:dyDescent="0.3"/>
    <row r="430" s="12" customFormat="1" hidden="1" x14ac:dyDescent="0.3"/>
    <row r="431" s="12" customFormat="1" hidden="1" x14ac:dyDescent="0.3"/>
    <row r="432" s="12" customFormat="1" hidden="1" x14ac:dyDescent="0.3"/>
    <row r="433" s="12" customFormat="1" hidden="1" x14ac:dyDescent="0.3"/>
    <row r="434" s="12" customFormat="1" hidden="1" x14ac:dyDescent="0.3"/>
    <row r="435" s="12" customFormat="1" hidden="1" x14ac:dyDescent="0.3"/>
    <row r="436" s="12" customFormat="1" hidden="1" x14ac:dyDescent="0.3"/>
    <row r="437" s="12" customFormat="1" hidden="1" x14ac:dyDescent="0.3"/>
    <row r="438" s="12" customFormat="1" hidden="1" x14ac:dyDescent="0.3"/>
    <row r="439" s="12" customFormat="1" hidden="1" x14ac:dyDescent="0.3"/>
    <row r="440" s="12" customFormat="1" hidden="1" x14ac:dyDescent="0.3"/>
    <row r="441" s="12" customFormat="1" hidden="1" x14ac:dyDescent="0.3"/>
    <row r="442" s="12" customFormat="1" hidden="1" x14ac:dyDescent="0.3"/>
    <row r="443" s="12" customFormat="1" hidden="1" x14ac:dyDescent="0.3"/>
    <row r="444" s="12" customFormat="1" hidden="1" x14ac:dyDescent="0.3"/>
    <row r="445" s="12" customFormat="1" hidden="1" x14ac:dyDescent="0.3"/>
    <row r="446" s="12" customFormat="1" hidden="1" x14ac:dyDescent="0.3"/>
    <row r="447" s="12" customFormat="1" hidden="1" x14ac:dyDescent="0.3"/>
    <row r="448" s="12" customFormat="1" hidden="1" x14ac:dyDescent="0.3"/>
    <row r="449" s="12" customFormat="1" hidden="1" x14ac:dyDescent="0.3"/>
    <row r="450" s="12" customFormat="1" hidden="1" x14ac:dyDescent="0.3"/>
    <row r="451" s="12" customFormat="1" hidden="1" x14ac:dyDescent="0.3"/>
    <row r="452" s="12" customFormat="1" hidden="1" x14ac:dyDescent="0.3"/>
    <row r="453" s="12" customFormat="1" hidden="1" x14ac:dyDescent="0.3"/>
    <row r="454" ht="14.4" customHeight="1" x14ac:dyDescent="0.3"/>
    <row r="455" ht="14.4" customHeight="1" x14ac:dyDescent="0.3"/>
    <row r="456" ht="14.4" customHeight="1" x14ac:dyDescent="0.3"/>
  </sheetData>
  <mergeCells count="3">
    <mergeCell ref="A1:X1"/>
    <mergeCell ref="Y1:AA1"/>
    <mergeCell ref="A2:AC2"/>
  </mergeCells>
  <hyperlinks>
    <hyperlink ref="Y1:AA1" location="'Front Page'!A1" display="Return to Contents" xr:uid="{00000000-0004-0000-0D00-000000000000}"/>
  </hyperlink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S93"/>
  <sheetViews>
    <sheetView showGridLines="0" zoomScaleNormal="100" workbookViewId="0">
      <selection activeCell="L1" sqref="L1:M1"/>
    </sheetView>
  </sheetViews>
  <sheetFormatPr defaultColWidth="0" defaultRowHeight="14.4" zeroHeight="1" x14ac:dyDescent="0.3"/>
  <cols>
    <col min="1" max="1" width="9.109375" style="33" customWidth="1"/>
    <col min="2" max="2" width="30" style="3" customWidth="1"/>
    <col min="3" max="3" width="17.5546875" style="3" customWidth="1"/>
    <col min="4" max="4" width="16.44140625" style="3" customWidth="1"/>
    <col min="5" max="5" width="10.88671875" style="33" customWidth="1"/>
    <col min="6" max="6" width="10.88671875" style="39" customWidth="1"/>
    <col min="7" max="12" width="10.88671875" style="33" customWidth="1"/>
    <col min="13" max="14" width="9.109375" style="33" customWidth="1"/>
    <col min="15" max="19" width="0" style="33" hidden="1" customWidth="1"/>
    <col min="20" max="16384" width="9.109375" style="33" hidden="1"/>
  </cols>
  <sheetData>
    <row r="1" spans="2:13" s="10" customFormat="1" ht="29.4" customHeight="1" x14ac:dyDescent="0.3">
      <c r="B1" s="393" t="s">
        <v>88</v>
      </c>
      <c r="C1" s="393"/>
      <c r="D1" s="84"/>
      <c r="F1" s="85"/>
      <c r="L1" s="467" t="s">
        <v>95</v>
      </c>
      <c r="M1" s="467"/>
    </row>
    <row r="2" spans="2:13" x14ac:dyDescent="0.3">
      <c r="B2" s="4"/>
      <c r="C2" s="4"/>
      <c r="D2" s="4"/>
    </row>
    <row r="3" spans="2:13" x14ac:dyDescent="0.3">
      <c r="B3" s="346" t="s">
        <v>153</v>
      </c>
      <c r="C3" s="4"/>
      <c r="D3" s="4"/>
      <c r="F3" s="344" t="s">
        <v>169</v>
      </c>
      <c r="G3" s="345"/>
      <c r="H3" s="345"/>
      <c r="I3" s="345"/>
      <c r="J3" s="345"/>
    </row>
    <row r="4" spans="2:13" x14ac:dyDescent="0.3">
      <c r="B4" s="346"/>
      <c r="C4" s="4"/>
      <c r="D4" s="4"/>
      <c r="F4" s="345"/>
      <c r="G4" s="345"/>
      <c r="H4" s="345"/>
      <c r="I4" s="345"/>
      <c r="J4" s="345"/>
    </row>
    <row r="5" spans="2:13" ht="15" thickBot="1" x14ac:dyDescent="0.35"/>
    <row r="6" spans="2:13" s="8" customFormat="1" ht="25.95" customHeight="1" thickTop="1" thickBot="1" x14ac:dyDescent="0.35">
      <c r="B6" s="351"/>
      <c r="C6" s="352"/>
      <c r="D6" s="353"/>
      <c r="E6" s="354" t="s">
        <v>194</v>
      </c>
      <c r="F6" s="355"/>
      <c r="G6" s="354" t="s">
        <v>195</v>
      </c>
      <c r="H6" s="355"/>
      <c r="I6" s="354" t="s">
        <v>196</v>
      </c>
      <c r="J6" s="355"/>
      <c r="K6" s="354" t="s">
        <v>197</v>
      </c>
      <c r="L6" s="355"/>
    </row>
    <row r="7" spans="2:13" ht="10.5" customHeight="1" thickTop="1" x14ac:dyDescent="0.3">
      <c r="B7" s="362" t="s">
        <v>45</v>
      </c>
      <c r="C7" s="365" t="s">
        <v>9</v>
      </c>
      <c r="D7" s="366"/>
      <c r="E7" s="369" t="str">
        <f ca="1">Data!G24</f>
        <v>No data</v>
      </c>
      <c r="F7" s="370"/>
      <c r="G7" s="369" t="str">
        <f ca="1">Data!G74</f>
        <v>No data</v>
      </c>
      <c r="H7" s="370"/>
      <c r="I7" s="356" t="str">
        <f ca="1">Data!G124</f>
        <v>No data</v>
      </c>
      <c r="J7" s="357"/>
      <c r="K7" s="356" t="str">
        <f ca="1">Data!G174</f>
        <v>No data</v>
      </c>
      <c r="L7" s="357"/>
    </row>
    <row r="8" spans="2:13" ht="10.5" customHeight="1" x14ac:dyDescent="0.3">
      <c r="B8" s="363"/>
      <c r="C8" s="367"/>
      <c r="D8" s="368"/>
      <c r="E8" s="371"/>
      <c r="F8" s="372"/>
      <c r="G8" s="371"/>
      <c r="H8" s="372"/>
      <c r="I8" s="358"/>
      <c r="J8" s="359"/>
      <c r="K8" s="358"/>
      <c r="L8" s="359"/>
    </row>
    <row r="9" spans="2:13" ht="10.5" customHeight="1" thickBot="1" x14ac:dyDescent="0.35">
      <c r="B9" s="363"/>
      <c r="C9" s="367"/>
      <c r="D9" s="368"/>
      <c r="E9" s="373"/>
      <c r="F9" s="374"/>
      <c r="G9" s="373"/>
      <c r="H9" s="374"/>
      <c r="I9" s="360"/>
      <c r="J9" s="361"/>
      <c r="K9" s="360"/>
      <c r="L9" s="361"/>
    </row>
    <row r="10" spans="2:13" ht="10.5" customHeight="1" thickTop="1" x14ac:dyDescent="0.3">
      <c r="B10" s="363"/>
      <c r="C10" s="365" t="s">
        <v>10</v>
      </c>
      <c r="D10" s="366"/>
      <c r="E10" s="369" t="str">
        <f ca="1">Data!H24</f>
        <v>No data</v>
      </c>
      <c r="F10" s="375"/>
      <c r="G10" s="369" t="str">
        <f ca="1">Data!H74</f>
        <v>No data</v>
      </c>
      <c r="H10" s="370"/>
      <c r="I10" s="356" t="str">
        <f ca="1">Data!H124</f>
        <v>No data</v>
      </c>
      <c r="J10" s="357"/>
      <c r="K10" s="356" t="str">
        <f ca="1">Data!H174</f>
        <v>No data</v>
      </c>
      <c r="L10" s="357"/>
    </row>
    <row r="11" spans="2:13" ht="10.5" customHeight="1" x14ac:dyDescent="0.3">
      <c r="B11" s="363"/>
      <c r="C11" s="367"/>
      <c r="D11" s="368"/>
      <c r="E11" s="376"/>
      <c r="F11" s="377"/>
      <c r="G11" s="371"/>
      <c r="H11" s="372"/>
      <c r="I11" s="358"/>
      <c r="J11" s="359"/>
      <c r="K11" s="358"/>
      <c r="L11" s="359"/>
    </row>
    <row r="12" spans="2:13" ht="10.5" customHeight="1" thickBot="1" x14ac:dyDescent="0.35">
      <c r="B12" s="364"/>
      <c r="C12" s="367"/>
      <c r="D12" s="368"/>
      <c r="E12" s="378"/>
      <c r="F12" s="379"/>
      <c r="G12" s="373"/>
      <c r="H12" s="374"/>
      <c r="I12" s="360"/>
      <c r="J12" s="361"/>
      <c r="K12" s="360"/>
      <c r="L12" s="361"/>
    </row>
    <row r="13" spans="2:13" ht="15" customHeight="1" thickTop="1" x14ac:dyDescent="0.3">
      <c r="B13" s="349" t="s">
        <v>168</v>
      </c>
      <c r="C13" s="362" t="s">
        <v>9</v>
      </c>
      <c r="D13" s="381" t="s">
        <v>34</v>
      </c>
      <c r="E13" s="382" t="str">
        <f ca="1">Data!J24</f>
        <v>No data</v>
      </c>
      <c r="F13" s="384" t="str">
        <f ca="1">IFERROR(E13/E19,"(-%)")</f>
        <v>(-%)</v>
      </c>
      <c r="G13" s="390" t="str">
        <f ca="1">Data!J74</f>
        <v>No data</v>
      </c>
      <c r="H13" s="384" t="str">
        <f ca="1">IFERROR(G13/G19,"(-%)")</f>
        <v>(-%)</v>
      </c>
      <c r="I13" s="347" t="str">
        <f ca="1">Data!J124</f>
        <v>No data</v>
      </c>
      <c r="J13" s="387" t="str">
        <f ca="1">IFERROR(I13/I19,"(-%)")</f>
        <v>(-%)</v>
      </c>
      <c r="K13" s="347" t="str">
        <f ca="1">Data!J174</f>
        <v>No data</v>
      </c>
      <c r="L13" s="387" t="str">
        <f ca="1">IFERROR(K13/K19,"(-%)")</f>
        <v>(-%)</v>
      </c>
    </row>
    <row r="14" spans="2:13" ht="15" customHeight="1" x14ac:dyDescent="0.3">
      <c r="B14" s="350"/>
      <c r="C14" s="363"/>
      <c r="D14" s="380"/>
      <c r="E14" s="383"/>
      <c r="F14" s="385"/>
      <c r="G14" s="389"/>
      <c r="H14" s="385"/>
      <c r="I14" s="348"/>
      <c r="J14" s="388"/>
      <c r="K14" s="348"/>
      <c r="L14" s="388"/>
    </row>
    <row r="15" spans="2:13" ht="15" customHeight="1" x14ac:dyDescent="0.3">
      <c r="B15" s="350"/>
      <c r="C15" s="363"/>
      <c r="D15" s="380" t="s">
        <v>35</v>
      </c>
      <c r="E15" s="383" t="str">
        <f ca="1">Data!K24</f>
        <v>No data</v>
      </c>
      <c r="F15" s="385" t="str">
        <f ca="1">IFERROR(E15/E19,"(-%)")</f>
        <v>(-%)</v>
      </c>
      <c r="G15" s="389" t="str">
        <f ca="1">Data!K74</f>
        <v>No data</v>
      </c>
      <c r="H15" s="385" t="str">
        <f ca="1">IFERROR(G15/G19,"(-%)")</f>
        <v>(-%)</v>
      </c>
      <c r="I15" s="348" t="str">
        <f ca="1">Data!K124</f>
        <v>No data</v>
      </c>
      <c r="J15" s="388" t="str">
        <f ca="1">IFERROR(I15/I19,"(-%)")</f>
        <v>(-%)</v>
      </c>
      <c r="K15" s="348" t="str">
        <f ca="1">Data!K174</f>
        <v>No data</v>
      </c>
      <c r="L15" s="388" t="str">
        <f ca="1">IFERROR(K15/K19,"(-%)")</f>
        <v>(-%)</v>
      </c>
    </row>
    <row r="16" spans="2:13" ht="15" customHeight="1" x14ac:dyDescent="0.3">
      <c r="B16" s="350"/>
      <c r="C16" s="363"/>
      <c r="D16" s="380"/>
      <c r="E16" s="383"/>
      <c r="F16" s="385"/>
      <c r="G16" s="389"/>
      <c r="H16" s="385"/>
      <c r="I16" s="348"/>
      <c r="J16" s="388"/>
      <c r="K16" s="348"/>
      <c r="L16" s="388"/>
    </row>
    <row r="17" spans="2:12" ht="15" customHeight="1" x14ac:dyDescent="0.3">
      <c r="B17" s="350"/>
      <c r="C17" s="363"/>
      <c r="D17" s="386" t="s">
        <v>36</v>
      </c>
      <c r="E17" s="383" t="str">
        <f ca="1">Data!L24</f>
        <v>No data</v>
      </c>
      <c r="F17" s="385" t="str">
        <f ca="1">IFERROR(E17/E19,"(-%)")</f>
        <v>(-%)</v>
      </c>
      <c r="G17" s="389" t="str">
        <f ca="1">Data!L74</f>
        <v>No data</v>
      </c>
      <c r="H17" s="385" t="str">
        <f ca="1">IFERROR(G17/G19,"(-%)")</f>
        <v>(-%)</v>
      </c>
      <c r="I17" s="348" t="str">
        <f ca="1">Data!L124</f>
        <v>No data</v>
      </c>
      <c r="J17" s="388" t="str">
        <f ca="1">IFERROR(I17/I19,"(-%)")</f>
        <v>(-%)</v>
      </c>
      <c r="K17" s="348" t="str">
        <f ca="1">Data!L174</f>
        <v>No data</v>
      </c>
      <c r="L17" s="388" t="str">
        <f ca="1">IFERROR(K17/K19,"(-%)")</f>
        <v>(-%)</v>
      </c>
    </row>
    <row r="18" spans="2:12" ht="15" customHeight="1" x14ac:dyDescent="0.3">
      <c r="B18" s="350"/>
      <c r="C18" s="363"/>
      <c r="D18" s="380"/>
      <c r="E18" s="383"/>
      <c r="F18" s="385"/>
      <c r="G18" s="389"/>
      <c r="H18" s="385"/>
      <c r="I18" s="348"/>
      <c r="J18" s="388"/>
      <c r="K18" s="348"/>
      <c r="L18" s="388"/>
    </row>
    <row r="19" spans="2:12" ht="26.25" customHeight="1" thickBot="1" x14ac:dyDescent="0.35">
      <c r="B19" s="350"/>
      <c r="C19" s="364"/>
      <c r="D19" s="72" t="s">
        <v>167</v>
      </c>
      <c r="E19" s="399" t="str">
        <f ca="1">Data!N24</f>
        <v>No data</v>
      </c>
      <c r="F19" s="400"/>
      <c r="G19" s="401" t="str">
        <f ca="1">Data!N74</f>
        <v>No data</v>
      </c>
      <c r="H19" s="400"/>
      <c r="I19" s="395" t="str">
        <f ca="1">Data!N124</f>
        <v>No data</v>
      </c>
      <c r="J19" s="396"/>
      <c r="K19" s="395" t="str">
        <f ca="1">Data!N174</f>
        <v>No data</v>
      </c>
      <c r="L19" s="396"/>
    </row>
    <row r="20" spans="2:12" ht="15" customHeight="1" thickTop="1" x14ac:dyDescent="0.3">
      <c r="B20" s="350"/>
      <c r="C20" s="362" t="s">
        <v>10</v>
      </c>
      <c r="D20" s="381" t="s">
        <v>34</v>
      </c>
      <c r="E20" s="382" t="str">
        <f ca="1">Data!P24</f>
        <v>No data</v>
      </c>
      <c r="F20" s="384" t="str">
        <f ca="1">IFERROR(E20/E26,"(-%)")</f>
        <v>(-%)</v>
      </c>
      <c r="G20" s="390" t="str">
        <f ca="1">Data!P74</f>
        <v>No data</v>
      </c>
      <c r="H20" s="384" t="str">
        <f ca="1">IFERROR(G20/G26,"(-%)")</f>
        <v>(-%)</v>
      </c>
      <c r="I20" s="347" t="str">
        <f ca="1">Data!P124</f>
        <v>No data</v>
      </c>
      <c r="J20" s="387" t="str">
        <f ca="1">IFERROR(I20/I26,"(-%)")</f>
        <v>(-%)</v>
      </c>
      <c r="K20" s="347" t="str">
        <f ca="1">Data!P174</f>
        <v>No data</v>
      </c>
      <c r="L20" s="387" t="str">
        <f ca="1">IFERROR(K20/K26,"(-%)")</f>
        <v>(-%)</v>
      </c>
    </row>
    <row r="21" spans="2:12" ht="15" customHeight="1" x14ac:dyDescent="0.3">
      <c r="B21" s="350"/>
      <c r="C21" s="363"/>
      <c r="D21" s="380"/>
      <c r="E21" s="383"/>
      <c r="F21" s="385"/>
      <c r="G21" s="389"/>
      <c r="H21" s="385"/>
      <c r="I21" s="398"/>
      <c r="J21" s="388"/>
      <c r="K21" s="398"/>
      <c r="L21" s="388"/>
    </row>
    <row r="22" spans="2:12" ht="15" customHeight="1" x14ac:dyDescent="0.3">
      <c r="B22" s="350"/>
      <c r="C22" s="363"/>
      <c r="D22" s="380" t="s">
        <v>35</v>
      </c>
      <c r="E22" s="383" t="str">
        <f ca="1">Data!Q24</f>
        <v>No data</v>
      </c>
      <c r="F22" s="385" t="str">
        <f ca="1">IFERROR(E22/E26,"(-%)")</f>
        <v>(-%)</v>
      </c>
      <c r="G22" s="389" t="str">
        <f ca="1">Data!Q74</f>
        <v>No data</v>
      </c>
      <c r="H22" s="385" t="str">
        <f ca="1">IFERROR(G22/G26,"(-%)")</f>
        <v>(-%)</v>
      </c>
      <c r="I22" s="348" t="str">
        <f ca="1">Data!Q124</f>
        <v>No data</v>
      </c>
      <c r="J22" s="388" t="str">
        <f ca="1">IFERROR(I22/I26,"(-%)")</f>
        <v>(-%)</v>
      </c>
      <c r="K22" s="348" t="str">
        <f ca="1">Data!Q174</f>
        <v>No data</v>
      </c>
      <c r="L22" s="388" t="str">
        <f ca="1">IFERROR(K22/K26,"(-%)")</f>
        <v>(-%)</v>
      </c>
    </row>
    <row r="23" spans="2:12" ht="15" customHeight="1" x14ac:dyDescent="0.3">
      <c r="B23" s="350"/>
      <c r="C23" s="363"/>
      <c r="D23" s="380"/>
      <c r="E23" s="383"/>
      <c r="F23" s="385"/>
      <c r="G23" s="389"/>
      <c r="H23" s="385"/>
      <c r="I23" s="398"/>
      <c r="J23" s="388"/>
      <c r="K23" s="398"/>
      <c r="L23" s="388"/>
    </row>
    <row r="24" spans="2:12" ht="15" customHeight="1" x14ac:dyDescent="0.3">
      <c r="B24" s="350"/>
      <c r="C24" s="363"/>
      <c r="D24" s="386" t="s">
        <v>36</v>
      </c>
      <c r="E24" s="383" t="str">
        <f ca="1">Data!R24</f>
        <v>No data</v>
      </c>
      <c r="F24" s="385" t="str">
        <f ca="1">IFERROR(E24/E26,"(-%)")</f>
        <v>(-%)</v>
      </c>
      <c r="G24" s="389" t="str">
        <f ca="1">Data!R74</f>
        <v>No data</v>
      </c>
      <c r="H24" s="385" t="str">
        <f ca="1">IFERROR(G24/G26,"(-%)")</f>
        <v>(-%)</v>
      </c>
      <c r="I24" s="348" t="str">
        <f ca="1">Data!R124</f>
        <v>No data</v>
      </c>
      <c r="J24" s="388" t="str">
        <f ca="1">IFERROR(I24/I26,"(-%)")</f>
        <v>(-%)</v>
      </c>
      <c r="K24" s="348" t="str">
        <f ca="1">Data!R174</f>
        <v>No data</v>
      </c>
      <c r="L24" s="388" t="str">
        <f ca="1">IFERROR(K24/K26,"(-%)")</f>
        <v>(-%)</v>
      </c>
    </row>
    <row r="25" spans="2:12" ht="15" customHeight="1" x14ac:dyDescent="0.3">
      <c r="B25" s="350"/>
      <c r="C25" s="363"/>
      <c r="D25" s="380"/>
      <c r="E25" s="383"/>
      <c r="F25" s="385"/>
      <c r="G25" s="389"/>
      <c r="H25" s="385"/>
      <c r="I25" s="398"/>
      <c r="J25" s="388"/>
      <c r="K25" s="398"/>
      <c r="L25" s="388"/>
    </row>
    <row r="26" spans="2:12" ht="21.75" customHeight="1" thickBot="1" x14ac:dyDescent="0.35">
      <c r="B26" s="350"/>
      <c r="C26" s="363"/>
      <c r="D26" s="72" t="s">
        <v>167</v>
      </c>
      <c r="E26" s="391" t="str">
        <f ca="1">Data!S24</f>
        <v>No data</v>
      </c>
      <c r="F26" s="392"/>
      <c r="G26" s="401" t="str">
        <f ca="1">Data!S74</f>
        <v>No data</v>
      </c>
      <c r="H26" s="400"/>
      <c r="I26" s="395" t="str">
        <f ca="1">Data!T124</f>
        <v>No data</v>
      </c>
      <c r="J26" s="397"/>
      <c r="K26" s="395" t="str">
        <f ca="1">Data!T174</f>
        <v>No data</v>
      </c>
      <c r="L26" s="397"/>
    </row>
    <row r="27" spans="2:12" ht="27.75" customHeight="1" thickTop="1" thickBot="1" x14ac:dyDescent="0.35">
      <c r="B27" s="394" t="s">
        <v>3</v>
      </c>
      <c r="C27" s="394" t="s">
        <v>9</v>
      </c>
      <c r="D27" s="406"/>
      <c r="E27" s="407" t="str">
        <f ca="1">Data!U24</f>
        <v>No data</v>
      </c>
      <c r="F27" s="408"/>
      <c r="G27" s="409" t="str">
        <f ca="1">Data!U74</f>
        <v>No data</v>
      </c>
      <c r="H27" s="408"/>
      <c r="I27" s="403" t="str">
        <f ca="1">Data!U124</f>
        <v>No data</v>
      </c>
      <c r="J27" s="404"/>
      <c r="K27" s="403" t="str">
        <f ca="1">Data!U174</f>
        <v>No data</v>
      </c>
      <c r="L27" s="405"/>
    </row>
    <row r="28" spans="2:12" ht="24" customHeight="1" thickTop="1" thickBot="1" x14ac:dyDescent="0.35">
      <c r="B28" s="394"/>
      <c r="C28" s="394" t="s">
        <v>10</v>
      </c>
      <c r="D28" s="406"/>
      <c r="E28" s="407" t="str">
        <f ca="1">Data!V24</f>
        <v>No data</v>
      </c>
      <c r="F28" s="408"/>
      <c r="G28" s="409" t="str">
        <f ca="1">Data!V74</f>
        <v>No data</v>
      </c>
      <c r="H28" s="408"/>
      <c r="I28" s="403" t="str">
        <f ca="1">Data!V124</f>
        <v>No data</v>
      </c>
      <c r="J28" s="404"/>
      <c r="K28" s="403" t="str">
        <f ca="1">Data!V174</f>
        <v>No data</v>
      </c>
      <c r="L28" s="405"/>
    </row>
    <row r="29" spans="2:12" ht="15" thickTop="1" x14ac:dyDescent="0.3"/>
    <row r="30" spans="2:12" x14ac:dyDescent="0.3">
      <c r="B30" s="11"/>
      <c r="C30" s="11"/>
      <c r="D30" s="11"/>
      <c r="E30" s="12"/>
      <c r="F30" s="40"/>
      <c r="G30" s="12"/>
      <c r="H30" s="12"/>
      <c r="I30" s="12"/>
      <c r="J30" s="12"/>
      <c r="K30" s="12"/>
      <c r="L30" s="12"/>
    </row>
    <row r="31" spans="2:12" x14ac:dyDescent="0.3">
      <c r="B31" s="402" t="s">
        <v>44</v>
      </c>
      <c r="C31" s="402"/>
      <c r="D31" s="402"/>
      <c r="E31" s="402"/>
      <c r="F31" s="77"/>
      <c r="G31" s="12"/>
      <c r="H31" s="12"/>
      <c r="I31" s="12"/>
      <c r="J31" s="12"/>
      <c r="K31" s="12"/>
      <c r="L31" s="12"/>
    </row>
    <row r="32" spans="2:12" x14ac:dyDescent="0.3">
      <c r="B32" s="11"/>
      <c r="C32" s="11"/>
      <c r="D32" s="11"/>
      <c r="E32" s="12"/>
      <c r="F32" s="40"/>
      <c r="G32" s="12"/>
      <c r="H32" s="12"/>
      <c r="I32" s="12"/>
      <c r="J32" s="12"/>
      <c r="K32" s="12"/>
      <c r="L32" s="12"/>
    </row>
    <row r="33" spans="2:12" x14ac:dyDescent="0.3">
      <c r="B33" s="11"/>
      <c r="C33" s="11"/>
      <c r="D33" s="11"/>
      <c r="E33" s="12"/>
      <c r="F33" s="40"/>
      <c r="G33" s="12"/>
      <c r="H33" s="12"/>
      <c r="I33" s="12"/>
      <c r="J33" s="12"/>
      <c r="K33" s="12"/>
      <c r="L33" s="12"/>
    </row>
    <row r="34" spans="2:12" x14ac:dyDescent="0.3">
      <c r="B34" s="11"/>
      <c r="C34" s="11"/>
      <c r="D34" s="11"/>
      <c r="E34" s="12"/>
      <c r="F34" s="40"/>
      <c r="G34" s="12"/>
      <c r="H34" s="12"/>
      <c r="I34" s="12"/>
      <c r="J34" s="12"/>
      <c r="K34" s="12"/>
      <c r="L34" s="12"/>
    </row>
    <row r="35" spans="2:12" x14ac:dyDescent="0.3">
      <c r="B35" s="11"/>
      <c r="C35" s="11"/>
      <c r="D35" s="11"/>
      <c r="E35" s="12"/>
      <c r="F35" s="40"/>
      <c r="G35" s="12"/>
      <c r="H35" s="12"/>
      <c r="I35" s="12"/>
      <c r="J35" s="12"/>
      <c r="K35" s="12"/>
      <c r="L35" s="12"/>
    </row>
    <row r="36" spans="2:12" x14ac:dyDescent="0.3">
      <c r="B36" s="11"/>
      <c r="C36" s="11"/>
      <c r="D36" s="11"/>
      <c r="E36" s="12"/>
      <c r="F36" s="40"/>
      <c r="G36" s="12"/>
      <c r="H36" s="12"/>
      <c r="I36" s="12"/>
      <c r="J36" s="12"/>
      <c r="K36" s="12"/>
      <c r="L36" s="12"/>
    </row>
    <row r="37" spans="2:12" x14ac:dyDescent="0.3">
      <c r="B37" s="11"/>
      <c r="C37" s="11"/>
      <c r="D37" s="11"/>
      <c r="E37" s="12"/>
      <c r="F37" s="40"/>
      <c r="G37" s="12"/>
      <c r="H37" s="12"/>
      <c r="I37" s="12"/>
      <c r="J37" s="12"/>
      <c r="K37" s="12"/>
      <c r="L37" s="12"/>
    </row>
    <row r="38" spans="2:12" x14ac:dyDescent="0.3">
      <c r="B38" s="11"/>
      <c r="C38" s="11"/>
      <c r="D38" s="11"/>
      <c r="E38" s="12"/>
      <c r="F38" s="40"/>
      <c r="G38" s="12"/>
      <c r="H38" s="12"/>
      <c r="I38" s="12"/>
      <c r="J38" s="12"/>
      <c r="K38" s="12"/>
      <c r="L38" s="12"/>
    </row>
    <row r="39" spans="2:12" x14ac:dyDescent="0.3">
      <c r="B39" s="11"/>
      <c r="C39" s="11"/>
      <c r="D39" s="11"/>
      <c r="E39" s="12"/>
      <c r="F39" s="40"/>
      <c r="G39" s="12"/>
      <c r="H39" s="12"/>
      <c r="I39" s="12"/>
      <c r="J39" s="12"/>
      <c r="K39" s="12"/>
      <c r="L39" s="12"/>
    </row>
    <row r="40" spans="2:12" x14ac:dyDescent="0.3">
      <c r="B40" s="11"/>
      <c r="C40" s="11"/>
      <c r="D40" s="11"/>
      <c r="E40" s="12"/>
      <c r="F40" s="40"/>
      <c r="G40" s="12"/>
      <c r="H40" s="12"/>
      <c r="I40" s="12"/>
      <c r="J40" s="12"/>
      <c r="K40" s="12"/>
      <c r="L40" s="12"/>
    </row>
    <row r="41" spans="2:12" x14ac:dyDescent="0.3">
      <c r="B41" s="11"/>
      <c r="C41" s="11"/>
      <c r="D41" s="11"/>
      <c r="E41" s="12"/>
      <c r="F41" s="40"/>
      <c r="G41" s="12"/>
      <c r="H41" s="12"/>
      <c r="I41" s="12"/>
      <c r="J41" s="12"/>
      <c r="K41" s="12"/>
      <c r="L41" s="12"/>
    </row>
    <row r="42" spans="2:12" x14ac:dyDescent="0.3">
      <c r="B42" s="11"/>
      <c r="C42" s="11"/>
      <c r="D42" s="11"/>
      <c r="E42" s="12"/>
      <c r="F42" s="40"/>
      <c r="G42" s="12"/>
      <c r="H42" s="12"/>
      <c r="I42" s="12"/>
      <c r="J42" s="12"/>
      <c r="K42" s="12"/>
      <c r="L42" s="12"/>
    </row>
    <row r="43" spans="2:12" x14ac:dyDescent="0.3">
      <c r="B43" s="11"/>
      <c r="C43" s="11"/>
      <c r="D43" s="11"/>
      <c r="E43" s="12"/>
      <c r="F43" s="40"/>
      <c r="G43" s="12"/>
      <c r="H43" s="12"/>
      <c r="I43" s="12"/>
      <c r="J43" s="12"/>
      <c r="K43" s="12"/>
      <c r="L43" s="12"/>
    </row>
    <row r="44" spans="2:12" x14ac:dyDescent="0.3">
      <c r="B44" s="11"/>
      <c r="C44" s="11"/>
      <c r="D44" s="11"/>
      <c r="E44" s="12"/>
      <c r="F44" s="40"/>
      <c r="G44" s="12"/>
      <c r="H44" s="12"/>
      <c r="I44" s="12"/>
      <c r="J44" s="12"/>
      <c r="K44" s="12"/>
      <c r="L44" s="12"/>
    </row>
    <row r="45" spans="2:12" x14ac:dyDescent="0.3">
      <c r="B45" s="11"/>
      <c r="C45" s="11"/>
      <c r="D45" s="11"/>
      <c r="E45" s="12"/>
      <c r="F45" s="40"/>
      <c r="G45" s="12"/>
      <c r="H45" s="12"/>
      <c r="I45" s="12"/>
      <c r="J45" s="12"/>
      <c r="K45" s="12"/>
      <c r="L45" s="12"/>
    </row>
    <row r="46" spans="2:12" x14ac:dyDescent="0.3">
      <c r="B46" s="11"/>
      <c r="C46" s="11"/>
      <c r="D46" s="11"/>
      <c r="E46" s="12"/>
      <c r="F46" s="40"/>
      <c r="G46" s="12"/>
      <c r="H46" s="12"/>
      <c r="I46" s="12"/>
      <c r="J46" s="12"/>
      <c r="K46" s="12"/>
      <c r="L46" s="12"/>
    </row>
    <row r="47" spans="2:12" x14ac:dyDescent="0.3">
      <c r="B47" s="11"/>
      <c r="C47" s="11"/>
      <c r="D47" s="11"/>
      <c r="E47" s="12"/>
      <c r="F47" s="40"/>
      <c r="G47" s="12"/>
      <c r="H47" s="12"/>
      <c r="I47" s="12"/>
      <c r="J47" s="12"/>
      <c r="K47" s="12"/>
      <c r="L47" s="12"/>
    </row>
    <row r="48" spans="2:12" x14ac:dyDescent="0.3">
      <c r="B48" s="11"/>
      <c r="C48" s="11"/>
      <c r="D48" s="11"/>
      <c r="E48" s="12"/>
      <c r="F48" s="40"/>
      <c r="G48" s="12"/>
      <c r="H48" s="12"/>
      <c r="I48" s="12"/>
      <c r="J48" s="12"/>
      <c r="K48" s="12"/>
      <c r="L48" s="12"/>
    </row>
    <row r="49" spans="2:12" x14ac:dyDescent="0.3">
      <c r="B49" s="11"/>
      <c r="C49" s="11"/>
      <c r="D49" s="11"/>
      <c r="E49" s="12"/>
      <c r="F49" s="40"/>
      <c r="G49" s="12"/>
      <c r="H49" s="12"/>
      <c r="I49" s="12"/>
      <c r="J49" s="12"/>
      <c r="K49" s="12"/>
      <c r="L49" s="12"/>
    </row>
    <row r="50" spans="2:12" x14ac:dyDescent="0.3">
      <c r="B50" s="11"/>
      <c r="C50" s="11"/>
      <c r="D50" s="11"/>
      <c r="E50" s="12"/>
      <c r="F50" s="40"/>
      <c r="G50" s="12"/>
      <c r="H50" s="12"/>
      <c r="I50" s="12"/>
      <c r="J50" s="12"/>
      <c r="K50" s="12"/>
      <c r="L50" s="12"/>
    </row>
    <row r="51" spans="2:12" x14ac:dyDescent="0.3">
      <c r="B51" s="11"/>
      <c r="C51" s="11"/>
      <c r="D51" s="11"/>
      <c r="E51" s="12"/>
      <c r="F51" s="40"/>
      <c r="G51" s="12"/>
      <c r="H51" s="12"/>
      <c r="I51" s="12"/>
      <c r="J51" s="12"/>
      <c r="K51" s="12"/>
      <c r="L51" s="12"/>
    </row>
    <row r="52" spans="2:12" ht="22.5" customHeight="1" x14ac:dyDescent="0.3">
      <c r="B52" s="89" t="s">
        <v>97</v>
      </c>
      <c r="C52" s="11"/>
      <c r="D52" s="11"/>
      <c r="E52" s="12"/>
      <c r="F52" s="40"/>
      <c r="G52" s="12"/>
      <c r="H52" s="12"/>
      <c r="I52" s="12"/>
      <c r="J52" s="12"/>
      <c r="K52" s="12"/>
      <c r="L52" s="12"/>
    </row>
    <row r="53" spans="2:12" x14ac:dyDescent="0.3">
      <c r="B53" s="87"/>
      <c r="C53" s="87"/>
      <c r="D53" s="87"/>
      <c r="E53" s="78"/>
      <c r="F53" s="88"/>
      <c r="G53" s="78"/>
      <c r="H53" s="78"/>
      <c r="I53" s="78"/>
      <c r="J53" s="78"/>
      <c r="K53" s="78"/>
      <c r="L53" s="78"/>
    </row>
    <row r="54" spans="2:12" x14ac:dyDescent="0.3">
      <c r="B54" s="87"/>
      <c r="C54" s="87"/>
      <c r="D54" s="87"/>
      <c r="E54" s="78"/>
      <c r="F54" s="88"/>
      <c r="G54" s="78"/>
      <c r="H54" s="78"/>
      <c r="I54" s="78"/>
      <c r="J54" s="78"/>
      <c r="K54" s="78"/>
      <c r="L54" s="78"/>
    </row>
    <row r="55" spans="2:12" x14ac:dyDescent="0.3">
      <c r="B55" s="87"/>
      <c r="C55" s="87"/>
      <c r="D55" s="87"/>
      <c r="E55" s="78"/>
      <c r="F55" s="88"/>
      <c r="G55" s="78"/>
      <c r="H55" s="78"/>
      <c r="I55" s="78"/>
      <c r="J55" s="78"/>
      <c r="K55" s="78"/>
      <c r="L55" s="78"/>
    </row>
    <row r="56" spans="2:12" x14ac:dyDescent="0.3">
      <c r="B56" s="87"/>
      <c r="C56" s="87"/>
      <c r="D56" s="87"/>
      <c r="E56" s="78"/>
      <c r="F56" s="88"/>
      <c r="G56" s="78"/>
      <c r="H56" s="78"/>
      <c r="I56" s="78"/>
      <c r="J56" s="78"/>
      <c r="K56" s="78"/>
      <c r="L56" s="78"/>
    </row>
    <row r="57" spans="2:12" x14ac:dyDescent="0.3">
      <c r="B57" s="87"/>
      <c r="C57" s="87"/>
      <c r="D57" s="87"/>
      <c r="E57" s="78"/>
      <c r="F57" s="88"/>
      <c r="G57" s="78"/>
      <c r="H57" s="78"/>
      <c r="I57" s="78"/>
      <c r="J57" s="78"/>
      <c r="K57" s="78"/>
      <c r="L57" s="78"/>
    </row>
    <row r="58" spans="2:12" x14ac:dyDescent="0.3">
      <c r="B58" s="87"/>
      <c r="C58" s="87"/>
      <c r="D58" s="87"/>
      <c r="E58" s="78"/>
      <c r="F58" s="88"/>
      <c r="G58" s="78"/>
      <c r="H58" s="78"/>
      <c r="I58" s="78"/>
      <c r="J58" s="78"/>
      <c r="K58" s="78"/>
      <c r="L58" s="78"/>
    </row>
    <row r="59" spans="2:12" x14ac:dyDescent="0.3">
      <c r="B59" s="87"/>
      <c r="C59" s="87"/>
      <c r="D59" s="87"/>
      <c r="E59" s="78"/>
      <c r="F59" s="88"/>
      <c r="G59" s="78"/>
      <c r="H59" s="78"/>
      <c r="I59" s="78"/>
      <c r="J59" s="78"/>
      <c r="K59" s="78"/>
      <c r="L59" s="78"/>
    </row>
    <row r="60" spans="2:12" x14ac:dyDescent="0.3">
      <c r="B60" s="87"/>
      <c r="C60" s="87"/>
      <c r="D60" s="87"/>
      <c r="E60" s="78"/>
      <c r="F60" s="88"/>
      <c r="G60" s="78"/>
      <c r="H60" s="78"/>
      <c r="I60" s="78"/>
      <c r="J60" s="78"/>
      <c r="K60" s="78"/>
      <c r="L60" s="78"/>
    </row>
    <row r="61" spans="2:12" x14ac:dyDescent="0.3">
      <c r="B61" s="87"/>
      <c r="C61" s="87"/>
      <c r="D61" s="87"/>
      <c r="E61" s="78"/>
      <c r="F61" s="88"/>
      <c r="G61" s="78"/>
      <c r="H61" s="78"/>
      <c r="I61" s="78"/>
      <c r="J61" s="78"/>
      <c r="K61" s="78"/>
      <c r="L61" s="78"/>
    </row>
    <row r="62" spans="2:12" x14ac:dyDescent="0.3">
      <c r="B62" s="87"/>
      <c r="C62" s="87"/>
      <c r="D62" s="87"/>
      <c r="E62" s="78"/>
      <c r="F62" s="88"/>
      <c r="G62" s="78"/>
      <c r="H62" s="78"/>
      <c r="I62" s="78"/>
      <c r="J62" s="78"/>
      <c r="K62" s="78"/>
      <c r="L62" s="78"/>
    </row>
    <row r="63" spans="2:12" x14ac:dyDescent="0.3">
      <c r="B63" s="87"/>
      <c r="C63" s="87"/>
      <c r="D63" s="87"/>
      <c r="E63" s="78"/>
      <c r="F63" s="88"/>
      <c r="G63" s="78"/>
      <c r="H63" s="78"/>
      <c r="I63" s="78"/>
      <c r="J63" s="78"/>
      <c r="K63" s="78"/>
      <c r="L63" s="78"/>
    </row>
    <row r="64" spans="2:12" x14ac:dyDescent="0.3">
      <c r="B64" s="87"/>
      <c r="C64" s="87"/>
      <c r="D64" s="87"/>
      <c r="E64" s="78"/>
      <c r="F64" s="88"/>
      <c r="G64" s="78"/>
      <c r="H64" s="78"/>
      <c r="I64" s="78"/>
      <c r="J64" s="78"/>
      <c r="K64" s="78"/>
      <c r="L64" s="78"/>
    </row>
    <row r="65" spans="2:12" x14ac:dyDescent="0.3">
      <c r="B65" s="87"/>
      <c r="C65" s="87"/>
      <c r="D65" s="87"/>
      <c r="E65" s="78"/>
      <c r="F65" s="88"/>
      <c r="G65" s="78"/>
      <c r="H65" s="78"/>
      <c r="I65" s="78"/>
      <c r="J65" s="78"/>
      <c r="K65" s="78"/>
      <c r="L65" s="78"/>
    </row>
    <row r="66" spans="2:12" x14ac:dyDescent="0.3">
      <c r="B66" s="87"/>
      <c r="C66" s="87"/>
      <c r="D66" s="87"/>
      <c r="E66" s="78"/>
      <c r="F66" s="88"/>
      <c r="G66" s="78"/>
      <c r="H66" s="78"/>
      <c r="I66" s="78"/>
      <c r="J66" s="78"/>
      <c r="K66" s="78"/>
      <c r="L66" s="78"/>
    </row>
    <row r="67" spans="2:12" x14ac:dyDescent="0.3">
      <c r="B67" s="87"/>
      <c r="C67" s="87"/>
      <c r="D67" s="87"/>
      <c r="E67" s="78"/>
      <c r="F67" s="88"/>
      <c r="G67" s="78"/>
      <c r="H67" s="78"/>
      <c r="I67" s="78"/>
      <c r="J67" s="78"/>
      <c r="K67" s="78"/>
      <c r="L67" s="78"/>
    </row>
    <row r="68" spans="2:12" x14ac:dyDescent="0.3">
      <c r="B68" s="11"/>
      <c r="C68" s="11"/>
      <c r="D68" s="11"/>
      <c r="E68" s="12"/>
      <c r="F68" s="40"/>
      <c r="G68" s="12"/>
      <c r="H68" s="12"/>
      <c r="I68" s="12"/>
      <c r="J68" s="12"/>
      <c r="K68" s="12"/>
      <c r="L68" s="12"/>
    </row>
    <row r="69" spans="2:12" x14ac:dyDescent="0.3">
      <c r="B69" s="89" t="s">
        <v>3</v>
      </c>
      <c r="C69" s="11"/>
      <c r="D69" s="11"/>
      <c r="E69" s="12"/>
      <c r="F69" s="40"/>
      <c r="G69" s="12"/>
      <c r="H69" s="12"/>
      <c r="I69" s="12"/>
      <c r="J69" s="12"/>
      <c r="K69" s="12"/>
      <c r="L69" s="12"/>
    </row>
    <row r="70" spans="2:12" x14ac:dyDescent="0.3">
      <c r="B70" s="11"/>
      <c r="C70" s="11"/>
      <c r="D70" s="11"/>
      <c r="E70" s="12"/>
      <c r="F70" s="40"/>
      <c r="G70" s="12"/>
      <c r="H70" s="12"/>
      <c r="I70" s="12"/>
      <c r="J70" s="12"/>
      <c r="K70" s="12"/>
      <c r="L70" s="12"/>
    </row>
    <row r="71" spans="2:12" x14ac:dyDescent="0.3">
      <c r="B71" s="11"/>
      <c r="C71" s="11"/>
      <c r="D71" s="11"/>
      <c r="E71" s="12"/>
      <c r="F71" s="40"/>
      <c r="G71" s="12"/>
      <c r="H71" s="12"/>
      <c r="I71" s="12"/>
      <c r="J71" s="12"/>
      <c r="K71" s="12"/>
      <c r="L71" s="12"/>
    </row>
    <row r="72" spans="2:12" x14ac:dyDescent="0.3">
      <c r="B72" s="11"/>
      <c r="C72" s="11"/>
      <c r="D72" s="11"/>
      <c r="E72" s="12"/>
      <c r="F72" s="40"/>
      <c r="G72" s="12"/>
      <c r="H72" s="12"/>
      <c r="I72" s="12"/>
      <c r="J72" s="12"/>
      <c r="K72" s="12"/>
      <c r="L72" s="12"/>
    </row>
    <row r="73" spans="2:12" x14ac:dyDescent="0.3">
      <c r="B73" s="11"/>
      <c r="C73" s="11"/>
      <c r="D73" s="11"/>
      <c r="E73" s="12"/>
      <c r="F73" s="40"/>
      <c r="G73" s="12"/>
      <c r="H73" s="12"/>
      <c r="I73" s="12"/>
      <c r="J73" s="12"/>
      <c r="K73" s="12"/>
      <c r="L73" s="12"/>
    </row>
    <row r="74" spans="2:12" x14ac:dyDescent="0.3">
      <c r="B74" s="11"/>
      <c r="C74" s="11"/>
      <c r="D74" s="11"/>
      <c r="E74" s="12"/>
      <c r="F74" s="40"/>
      <c r="G74" s="12"/>
      <c r="H74" s="12"/>
      <c r="I74" s="12"/>
      <c r="J74" s="12"/>
      <c r="K74" s="12"/>
      <c r="L74" s="12"/>
    </row>
    <row r="75" spans="2:12" x14ac:dyDescent="0.3">
      <c r="B75" s="11"/>
      <c r="C75" s="11"/>
      <c r="D75" s="11"/>
      <c r="E75" s="12"/>
      <c r="F75" s="40"/>
      <c r="G75" s="12"/>
      <c r="H75" s="12"/>
      <c r="I75" s="12"/>
      <c r="J75" s="12"/>
      <c r="K75" s="12"/>
      <c r="L75" s="12"/>
    </row>
    <row r="76" spans="2:12" x14ac:dyDescent="0.3">
      <c r="B76" s="11"/>
      <c r="C76" s="11"/>
      <c r="D76" s="11"/>
      <c r="E76" s="12"/>
      <c r="F76" s="40"/>
      <c r="G76" s="12"/>
      <c r="H76" s="12"/>
      <c r="I76" s="12"/>
      <c r="J76" s="12"/>
      <c r="K76" s="12"/>
      <c r="L76" s="12"/>
    </row>
    <row r="77" spans="2:12" x14ac:dyDescent="0.3">
      <c r="B77" s="11"/>
      <c r="C77" s="11"/>
      <c r="D77" s="11"/>
      <c r="E77" s="12"/>
      <c r="F77" s="40"/>
      <c r="G77" s="12"/>
      <c r="H77" s="12"/>
      <c r="I77" s="12"/>
      <c r="J77" s="12"/>
      <c r="K77" s="12"/>
      <c r="L77" s="12"/>
    </row>
    <row r="78" spans="2:12" x14ac:dyDescent="0.3">
      <c r="B78" s="11"/>
      <c r="C78" s="11"/>
      <c r="D78" s="11"/>
      <c r="E78" s="12"/>
      <c r="F78" s="40"/>
      <c r="G78" s="12"/>
      <c r="H78" s="12"/>
      <c r="I78" s="12"/>
      <c r="J78" s="12"/>
      <c r="K78" s="12"/>
      <c r="L78" s="12"/>
    </row>
    <row r="79" spans="2:12" x14ac:dyDescent="0.3">
      <c r="B79" s="11"/>
      <c r="C79" s="11"/>
      <c r="D79" s="11"/>
      <c r="E79" s="12"/>
      <c r="F79" s="40"/>
      <c r="G79" s="12"/>
      <c r="H79" s="12"/>
      <c r="I79" s="12"/>
      <c r="J79" s="12"/>
      <c r="K79" s="12"/>
      <c r="L79" s="12"/>
    </row>
    <row r="80" spans="2:12" x14ac:dyDescent="0.3">
      <c r="B80" s="11"/>
      <c r="C80" s="11"/>
      <c r="D80" s="11"/>
      <c r="E80" s="12"/>
      <c r="F80" s="40"/>
      <c r="G80" s="12"/>
      <c r="H80" s="12"/>
      <c r="I80" s="12"/>
      <c r="J80" s="12"/>
      <c r="K80" s="12"/>
      <c r="L80" s="12"/>
    </row>
    <row r="81" spans="2:12" x14ac:dyDescent="0.3">
      <c r="B81" s="11"/>
      <c r="C81" s="11"/>
      <c r="D81" s="11"/>
      <c r="E81" s="12"/>
      <c r="F81" s="40"/>
      <c r="G81" s="12"/>
      <c r="H81" s="12"/>
      <c r="I81" s="12"/>
      <c r="J81" s="12"/>
      <c r="K81" s="12"/>
      <c r="L81" s="12"/>
    </row>
    <row r="82" spans="2:12" x14ac:dyDescent="0.3">
      <c r="B82" s="11"/>
      <c r="C82" s="11"/>
      <c r="D82" s="11"/>
      <c r="E82" s="12"/>
      <c r="F82" s="40"/>
      <c r="G82" s="12"/>
      <c r="H82" s="12"/>
      <c r="I82" s="12"/>
      <c r="J82" s="12"/>
      <c r="K82" s="12"/>
      <c r="L82" s="12"/>
    </row>
    <row r="83" spans="2:12" x14ac:dyDescent="0.3">
      <c r="B83" s="11"/>
      <c r="C83" s="11"/>
      <c r="D83" s="11"/>
      <c r="E83" s="12"/>
      <c r="F83" s="40"/>
      <c r="G83" s="12"/>
      <c r="H83" s="12"/>
      <c r="I83" s="12"/>
      <c r="J83" s="12"/>
      <c r="K83" s="12"/>
      <c r="L83" s="12"/>
    </row>
    <row r="84" spans="2:12" x14ac:dyDescent="0.3">
      <c r="B84" s="11"/>
      <c r="C84" s="11"/>
      <c r="D84" s="11"/>
      <c r="E84" s="12"/>
      <c r="F84" s="40"/>
      <c r="G84" s="12"/>
      <c r="H84" s="12"/>
      <c r="I84" s="12"/>
      <c r="J84" s="12"/>
      <c r="K84" s="12"/>
      <c r="L84" s="12"/>
    </row>
    <row r="85" spans="2:12" x14ac:dyDescent="0.3">
      <c r="B85" s="11"/>
      <c r="C85" s="11"/>
      <c r="D85" s="11"/>
      <c r="E85" s="12"/>
      <c r="F85" s="40"/>
      <c r="G85" s="12"/>
      <c r="H85" s="12"/>
      <c r="I85" s="12"/>
      <c r="J85" s="12"/>
      <c r="K85" s="12"/>
      <c r="L85" s="12"/>
    </row>
    <row r="86" spans="2:12" x14ac:dyDescent="0.3">
      <c r="B86" s="11"/>
      <c r="C86" s="11"/>
      <c r="D86" s="11"/>
      <c r="E86" s="12"/>
      <c r="F86" s="40"/>
      <c r="G86" s="12"/>
      <c r="H86" s="12"/>
      <c r="I86" s="12"/>
      <c r="J86" s="12"/>
      <c r="K86" s="12"/>
      <c r="L86" s="12"/>
    </row>
    <row r="87" spans="2:12" x14ac:dyDescent="0.3">
      <c r="B87" s="11"/>
      <c r="C87" s="11"/>
      <c r="D87" s="11"/>
      <c r="E87" s="12"/>
      <c r="F87" s="40"/>
      <c r="G87" s="12"/>
      <c r="H87" s="12"/>
      <c r="I87" s="12"/>
      <c r="J87" s="12"/>
      <c r="K87" s="12"/>
      <c r="L87" s="12"/>
    </row>
    <row r="88" spans="2:12" x14ac:dyDescent="0.3">
      <c r="B88" s="11"/>
      <c r="C88" s="11"/>
      <c r="D88" s="11"/>
      <c r="E88" s="12"/>
      <c r="F88" s="40"/>
      <c r="G88" s="12"/>
      <c r="H88" s="12"/>
      <c r="I88" s="12"/>
      <c r="J88" s="12"/>
      <c r="K88" s="12"/>
      <c r="L88" s="12"/>
    </row>
    <row r="89" spans="2:12" x14ac:dyDescent="0.3">
      <c r="B89" s="11"/>
      <c r="C89" s="11"/>
      <c r="D89" s="11"/>
      <c r="E89" s="12"/>
      <c r="F89" s="40"/>
      <c r="G89" s="12"/>
      <c r="H89" s="12"/>
      <c r="I89" s="12"/>
      <c r="J89" s="12"/>
      <c r="K89" s="12"/>
      <c r="L89" s="12"/>
    </row>
    <row r="90" spans="2:12" x14ac:dyDescent="0.3">
      <c r="B90" s="11"/>
      <c r="C90" s="11"/>
      <c r="D90" s="11"/>
      <c r="E90" s="12"/>
      <c r="F90" s="40"/>
      <c r="G90" s="12"/>
      <c r="H90" s="12"/>
      <c r="I90" s="12"/>
      <c r="J90" s="12"/>
      <c r="K90" s="12"/>
      <c r="L90" s="12"/>
    </row>
    <row r="91" spans="2:12" x14ac:dyDescent="0.3">
      <c r="B91" s="11"/>
      <c r="C91" s="11"/>
      <c r="D91" s="11"/>
      <c r="E91" s="12"/>
      <c r="F91" s="40"/>
      <c r="G91" s="12"/>
      <c r="H91" s="12"/>
      <c r="I91" s="12"/>
      <c r="J91" s="12"/>
      <c r="K91" s="12"/>
      <c r="L91" s="12"/>
    </row>
    <row r="92" spans="2:12" s="41" customFormat="1" x14ac:dyDescent="0.3">
      <c r="B92" s="90"/>
      <c r="C92" s="90"/>
      <c r="D92" s="90"/>
      <c r="F92" s="91"/>
    </row>
    <row r="93" spans="2:12" s="41" customFormat="1" hidden="1" x14ac:dyDescent="0.3">
      <c r="B93" s="90"/>
      <c r="C93" s="90"/>
      <c r="D93" s="90"/>
      <c r="F93" s="91"/>
    </row>
  </sheetData>
  <sheetProtection algorithmName="SHA-512" hashValue="1hdVNz81PPArPmjO18KoAO2DcKWHIFTdvDwo8bPK+hWFc00xOA0pDaXF3MRdxX8NvLsc4RWy9lne6Eh81VTWDg==" saltValue="5QiZn+NktOfsVgg3Qgr4mg==" spinCount="100000" sheet="1" objects="1" scenarios="1" selectLockedCells="1"/>
  <mergeCells count="97">
    <mergeCell ref="L15:L16"/>
    <mergeCell ref="L1:M1"/>
    <mergeCell ref="I27:J27"/>
    <mergeCell ref="K27:L27"/>
    <mergeCell ref="C28:D28"/>
    <mergeCell ref="E28:F28"/>
    <mergeCell ref="G28:H28"/>
    <mergeCell ref="I28:J28"/>
    <mergeCell ref="K28:L28"/>
    <mergeCell ref="G26:H26"/>
    <mergeCell ref="C27:D27"/>
    <mergeCell ref="E27:F27"/>
    <mergeCell ref="G27:H27"/>
    <mergeCell ref="L22:L23"/>
    <mergeCell ref="I19:J19"/>
    <mergeCell ref="I26:J26"/>
    <mergeCell ref="K10:L12"/>
    <mergeCell ref="I22:I23"/>
    <mergeCell ref="J22:J23"/>
    <mergeCell ref="K22:K23"/>
    <mergeCell ref="B31:E31"/>
    <mergeCell ref="I20:I21"/>
    <mergeCell ref="J20:J21"/>
    <mergeCell ref="K20:K21"/>
    <mergeCell ref="L20:L21"/>
    <mergeCell ref="G17:G18"/>
    <mergeCell ref="H17:H18"/>
    <mergeCell ref="I17:I18"/>
    <mergeCell ref="J17:J18"/>
    <mergeCell ref="K17:K18"/>
    <mergeCell ref="G15:G16"/>
    <mergeCell ref="H15:H16"/>
    <mergeCell ref="B1:C1"/>
    <mergeCell ref="B27:B28"/>
    <mergeCell ref="K19:L19"/>
    <mergeCell ref="K26:L26"/>
    <mergeCell ref="I24:I25"/>
    <mergeCell ref="J24:J25"/>
    <mergeCell ref="K24:K25"/>
    <mergeCell ref="L24:L25"/>
    <mergeCell ref="L13:L14"/>
    <mergeCell ref="I15:I16"/>
    <mergeCell ref="J15:J16"/>
    <mergeCell ref="K15:K16"/>
    <mergeCell ref="L17:L18"/>
    <mergeCell ref="E19:F19"/>
    <mergeCell ref="G19:H19"/>
    <mergeCell ref="H20:H21"/>
    <mergeCell ref="C20:C26"/>
    <mergeCell ref="D20:D21"/>
    <mergeCell ref="E20:E21"/>
    <mergeCell ref="F20:F21"/>
    <mergeCell ref="G20:G21"/>
    <mergeCell ref="D22:D23"/>
    <mergeCell ref="E22:E23"/>
    <mergeCell ref="F22:F23"/>
    <mergeCell ref="G24:G25"/>
    <mergeCell ref="E26:F26"/>
    <mergeCell ref="D24:D25"/>
    <mergeCell ref="E24:E25"/>
    <mergeCell ref="F24:F25"/>
    <mergeCell ref="H24:H25"/>
    <mergeCell ref="G22:G23"/>
    <mergeCell ref="H22:H23"/>
    <mergeCell ref="G13:G14"/>
    <mergeCell ref="H13:H14"/>
    <mergeCell ref="G10:H12"/>
    <mergeCell ref="I7:J9"/>
    <mergeCell ref="I10:J12"/>
    <mergeCell ref="D15:D16"/>
    <mergeCell ref="C13:C19"/>
    <mergeCell ref="D13:D14"/>
    <mergeCell ref="E13:E14"/>
    <mergeCell ref="F13:F14"/>
    <mergeCell ref="D17:D18"/>
    <mergeCell ref="E17:E18"/>
    <mergeCell ref="F17:F18"/>
    <mergeCell ref="E15:E16"/>
    <mergeCell ref="F15:F16"/>
    <mergeCell ref="I13:I14"/>
    <mergeCell ref="J13:J14"/>
    <mergeCell ref="F3:J4"/>
    <mergeCell ref="B3:B4"/>
    <mergeCell ref="K13:K14"/>
    <mergeCell ref="B13:B26"/>
    <mergeCell ref="B6:D6"/>
    <mergeCell ref="E6:F6"/>
    <mergeCell ref="G6:H6"/>
    <mergeCell ref="I6:J6"/>
    <mergeCell ref="K6:L6"/>
    <mergeCell ref="K7:L9"/>
    <mergeCell ref="B7:B12"/>
    <mergeCell ref="C7:D9"/>
    <mergeCell ref="E7:F9"/>
    <mergeCell ref="G7:H9"/>
    <mergeCell ref="C10:D12"/>
    <mergeCell ref="E10:F12"/>
  </mergeCells>
  <conditionalFormatting sqref="F3:J4">
    <cfRule type="expression" dxfId="1" priority="1">
      <formula>OR(AdultChoice=2,AdultChoice=11)</formula>
    </cfRule>
  </conditionalFormatting>
  <hyperlinks>
    <hyperlink ref="L1:M1" location="'Front Page'!A1" display="Return to Contents" xr:uid="{00000000-0004-0000-0E00-000000000000}"/>
  </hyperlinks>
  <pageMargins left="0.7" right="0.7" top="0.75" bottom="0.75" header="0.3" footer="0.3"/>
  <pageSetup paperSize="9" orientation="portrait" r:id="rId1"/>
  <ignoredErrors>
    <ignoredError sqref="G13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8" r:id="rId4" name="Drop Down 12">
              <controlPr defaultSize="0" autoLine="0" autoPict="0">
                <anchor moveWithCells="1">
                  <from>
                    <xdr:col>7</xdr:col>
                    <xdr:colOff>525780</xdr:colOff>
                    <xdr:row>27</xdr:row>
                    <xdr:rowOff>236220</xdr:rowOff>
                  </from>
                  <to>
                    <xdr:col>11</xdr:col>
                    <xdr:colOff>266700</xdr:colOff>
                    <xdr:row>29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5" name="Drop Down 13">
              <controlPr defaultSize="0" autoLine="0" autoPict="0">
                <anchor moveWithCells="1">
                  <from>
                    <xdr:col>2</xdr:col>
                    <xdr:colOff>0</xdr:colOff>
                    <xdr:row>2</xdr:row>
                    <xdr:rowOff>7620</xdr:rowOff>
                  </from>
                  <to>
                    <xdr:col>4</xdr:col>
                    <xdr:colOff>365760</xdr:colOff>
                    <xdr:row>3</xdr:row>
                    <xdr:rowOff>175260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Q92"/>
  <sheetViews>
    <sheetView showGridLines="0" workbookViewId="0">
      <selection activeCell="L1" sqref="L1:M1"/>
    </sheetView>
  </sheetViews>
  <sheetFormatPr defaultColWidth="0" defaultRowHeight="14.4" zeroHeight="1" x14ac:dyDescent="0.3"/>
  <cols>
    <col min="1" max="1" width="9.109375" customWidth="1"/>
    <col min="2" max="2" width="30" style="3" customWidth="1"/>
    <col min="3" max="3" width="17.5546875" style="3" customWidth="1"/>
    <col min="4" max="4" width="16.44140625" style="3" customWidth="1"/>
    <col min="5" max="5" width="10.88671875" customWidth="1"/>
    <col min="6" max="6" width="10.88671875" style="39" customWidth="1"/>
    <col min="7" max="7" width="10.88671875" customWidth="1"/>
    <col min="8" max="8" width="10.88671875" style="33" customWidth="1"/>
    <col min="9" max="9" width="10.88671875" customWidth="1"/>
    <col min="10" max="10" width="10.88671875" style="33" customWidth="1"/>
    <col min="11" max="11" width="10.88671875" customWidth="1"/>
    <col min="12" max="12" width="10.88671875" style="33" customWidth="1"/>
    <col min="13" max="14" width="9.109375" customWidth="1"/>
    <col min="15" max="17" width="0" hidden="1" customWidth="1"/>
    <col min="18" max="16384" width="9.109375" hidden="1"/>
  </cols>
  <sheetData>
    <row r="1" spans="1:14" s="10" customFormat="1" ht="29.4" customHeight="1" x14ac:dyDescent="0.3">
      <c r="B1" s="86" t="s">
        <v>66</v>
      </c>
      <c r="C1" s="84"/>
      <c r="D1" s="84"/>
      <c r="F1" s="85"/>
      <c r="L1" s="467" t="s">
        <v>95</v>
      </c>
      <c r="M1" s="467"/>
    </row>
    <row r="2" spans="1:14" x14ac:dyDescent="0.3">
      <c r="A2" s="33"/>
      <c r="B2" s="4"/>
      <c r="C2" s="4"/>
      <c r="D2" s="4"/>
      <c r="E2" s="33"/>
      <c r="G2" s="33"/>
      <c r="I2" s="33"/>
      <c r="K2" s="33"/>
      <c r="M2" s="33"/>
      <c r="N2" s="33"/>
    </row>
    <row r="3" spans="1:14" x14ac:dyDescent="0.3">
      <c r="A3" s="33"/>
      <c r="B3" s="346" t="s">
        <v>154</v>
      </c>
      <c r="C3" s="4"/>
      <c r="D3" s="4"/>
      <c r="E3" s="33"/>
      <c r="F3" s="344" t="s">
        <v>169</v>
      </c>
      <c r="G3" s="345"/>
      <c r="H3" s="345"/>
      <c r="I3" s="345"/>
      <c r="J3" s="345"/>
      <c r="K3" s="33"/>
      <c r="M3" s="33"/>
      <c r="N3" s="33"/>
    </row>
    <row r="4" spans="1:14" x14ac:dyDescent="0.3">
      <c r="A4" s="33"/>
      <c r="B4" s="346"/>
      <c r="C4" s="4"/>
      <c r="D4" s="4"/>
      <c r="E4" s="33"/>
      <c r="F4" s="345"/>
      <c r="G4" s="345"/>
      <c r="H4" s="345"/>
      <c r="I4" s="345"/>
      <c r="J4" s="345"/>
      <c r="K4" s="33"/>
      <c r="M4" s="33"/>
      <c r="N4" s="33"/>
    </row>
    <row r="5" spans="1:14" ht="15" thickBot="1" x14ac:dyDescent="0.35">
      <c r="A5" s="33"/>
      <c r="E5" s="33"/>
      <c r="G5" s="33"/>
      <c r="I5" s="33"/>
      <c r="K5" s="33"/>
      <c r="M5" s="33"/>
      <c r="N5" s="33"/>
    </row>
    <row r="6" spans="1:14" s="8" customFormat="1" ht="25.95" customHeight="1" thickTop="1" thickBot="1" x14ac:dyDescent="0.35">
      <c r="B6" s="351"/>
      <c r="C6" s="352"/>
      <c r="D6" s="353"/>
      <c r="E6" s="354" t="s">
        <v>194</v>
      </c>
      <c r="F6" s="355"/>
      <c r="G6" s="354" t="s">
        <v>195</v>
      </c>
      <c r="H6" s="355"/>
      <c r="I6" s="354" t="s">
        <v>196</v>
      </c>
      <c r="J6" s="355"/>
      <c r="K6" s="354" t="s">
        <v>197</v>
      </c>
      <c r="L6" s="355"/>
    </row>
    <row r="7" spans="1:14" ht="10.5" customHeight="1" thickTop="1" x14ac:dyDescent="0.3">
      <c r="A7" s="33"/>
      <c r="B7" s="362" t="s">
        <v>45</v>
      </c>
      <c r="C7" s="365" t="s">
        <v>9</v>
      </c>
      <c r="D7" s="366"/>
      <c r="E7" s="369" t="str">
        <f ca="1">Data!G49</f>
        <v>No data</v>
      </c>
      <c r="F7" s="370"/>
      <c r="G7" s="369">
        <f ca="1">Data!G99</f>
        <v>7</v>
      </c>
      <c r="H7" s="370"/>
      <c r="I7" s="412" t="str">
        <f ca="1">Data!G149</f>
        <v>No data</v>
      </c>
      <c r="J7" s="357"/>
      <c r="K7" s="412" t="str">
        <f ca="1">Data!G199</f>
        <v>No data</v>
      </c>
      <c r="L7" s="357"/>
      <c r="M7" s="33"/>
      <c r="N7" s="33"/>
    </row>
    <row r="8" spans="1:14" ht="10.5" customHeight="1" x14ac:dyDescent="0.3">
      <c r="A8" s="33"/>
      <c r="B8" s="363"/>
      <c r="C8" s="367"/>
      <c r="D8" s="368"/>
      <c r="E8" s="371"/>
      <c r="F8" s="372"/>
      <c r="G8" s="371"/>
      <c r="H8" s="372"/>
      <c r="I8" s="358"/>
      <c r="J8" s="359"/>
      <c r="K8" s="358"/>
      <c r="L8" s="359"/>
      <c r="M8" s="33"/>
      <c r="N8" s="33"/>
    </row>
    <row r="9" spans="1:14" ht="10.5" customHeight="1" thickBot="1" x14ac:dyDescent="0.35">
      <c r="A9" s="33"/>
      <c r="B9" s="363"/>
      <c r="C9" s="367"/>
      <c r="D9" s="368"/>
      <c r="E9" s="373"/>
      <c r="F9" s="374"/>
      <c r="G9" s="373"/>
      <c r="H9" s="374"/>
      <c r="I9" s="360"/>
      <c r="J9" s="361"/>
      <c r="K9" s="360"/>
      <c r="L9" s="361"/>
      <c r="M9" s="33"/>
      <c r="N9" s="33"/>
    </row>
    <row r="10" spans="1:14" ht="10.5" customHeight="1" thickTop="1" x14ac:dyDescent="0.3">
      <c r="A10" s="33"/>
      <c r="B10" s="363"/>
      <c r="C10" s="365" t="s">
        <v>10</v>
      </c>
      <c r="D10" s="366"/>
      <c r="E10" s="369" t="str">
        <f ca="1">Data!H49</f>
        <v>No data</v>
      </c>
      <c r="F10" s="375"/>
      <c r="G10" s="369">
        <f ca="1">Data!H99</f>
        <v>10</v>
      </c>
      <c r="H10" s="370"/>
      <c r="I10" s="412" t="str">
        <f ca="1">Data!H149</f>
        <v>No data</v>
      </c>
      <c r="J10" s="357"/>
      <c r="K10" s="412" t="str">
        <f ca="1">Data!H199</f>
        <v>No data</v>
      </c>
      <c r="L10" s="357"/>
      <c r="M10" s="33"/>
      <c r="N10" s="33"/>
    </row>
    <row r="11" spans="1:14" ht="10.5" customHeight="1" x14ac:dyDescent="0.3">
      <c r="A11" s="33"/>
      <c r="B11" s="363"/>
      <c r="C11" s="367"/>
      <c r="D11" s="368"/>
      <c r="E11" s="376"/>
      <c r="F11" s="377"/>
      <c r="G11" s="371"/>
      <c r="H11" s="372"/>
      <c r="I11" s="358"/>
      <c r="J11" s="359"/>
      <c r="K11" s="358"/>
      <c r="L11" s="359"/>
      <c r="M11" s="33"/>
      <c r="N11" s="33"/>
    </row>
    <row r="12" spans="1:14" ht="10.5" customHeight="1" thickBot="1" x14ac:dyDescent="0.35">
      <c r="A12" s="33"/>
      <c r="B12" s="364"/>
      <c r="C12" s="367"/>
      <c r="D12" s="368"/>
      <c r="E12" s="378"/>
      <c r="F12" s="379"/>
      <c r="G12" s="373"/>
      <c r="H12" s="374"/>
      <c r="I12" s="360"/>
      <c r="J12" s="361"/>
      <c r="K12" s="360"/>
      <c r="L12" s="361"/>
      <c r="M12" s="33"/>
      <c r="N12" s="33"/>
    </row>
    <row r="13" spans="1:14" ht="15" customHeight="1" thickTop="1" x14ac:dyDescent="0.3">
      <c r="A13" s="33"/>
      <c r="B13" s="349" t="s">
        <v>168</v>
      </c>
      <c r="C13" s="362" t="s">
        <v>9</v>
      </c>
      <c r="D13" s="381" t="s">
        <v>34</v>
      </c>
      <c r="E13" s="382" t="str">
        <f ca="1">Data!J49</f>
        <v>No data</v>
      </c>
      <c r="F13" s="384" t="str">
        <f ca="1">IFERROR(E13/E19,"(-%)")</f>
        <v>(-%)</v>
      </c>
      <c r="G13" s="390">
        <f ca="1">Data!J99</f>
        <v>0</v>
      </c>
      <c r="H13" s="384">
        <f ca="1">IFERROR(G13/G19,"(-%)")</f>
        <v>0</v>
      </c>
      <c r="I13" s="347" t="str">
        <f ca="1">Data!J149</f>
        <v>No data</v>
      </c>
      <c r="J13" s="387" t="str">
        <f ca="1">IFERROR(I13/I19,"(-%)")</f>
        <v>(-%)</v>
      </c>
      <c r="K13" s="347" t="str">
        <f ca="1">Data!J199</f>
        <v>No data</v>
      </c>
      <c r="L13" s="387" t="str">
        <f ca="1">IFERROR(K13/K19,"(-%)")</f>
        <v>(-%)</v>
      </c>
      <c r="M13" s="33"/>
      <c r="N13" s="33"/>
    </row>
    <row r="14" spans="1:14" ht="15" customHeight="1" x14ac:dyDescent="0.3">
      <c r="A14" s="33"/>
      <c r="B14" s="350"/>
      <c r="C14" s="363"/>
      <c r="D14" s="380"/>
      <c r="E14" s="383"/>
      <c r="F14" s="385"/>
      <c r="G14" s="389"/>
      <c r="H14" s="385"/>
      <c r="I14" s="348"/>
      <c r="J14" s="388"/>
      <c r="K14" s="348"/>
      <c r="L14" s="388"/>
      <c r="M14" s="33"/>
      <c r="N14" s="33"/>
    </row>
    <row r="15" spans="1:14" ht="15" customHeight="1" x14ac:dyDescent="0.3">
      <c r="A15" s="33"/>
      <c r="B15" s="350"/>
      <c r="C15" s="363"/>
      <c r="D15" s="380" t="s">
        <v>35</v>
      </c>
      <c r="E15" s="383" t="str">
        <f ca="1">Data!K49</f>
        <v>No data</v>
      </c>
      <c r="F15" s="385" t="str">
        <f ca="1">IFERROR(E15/E19,"(-%)")</f>
        <v>(-%)</v>
      </c>
      <c r="G15" s="389">
        <f ca="1">Data!K99</f>
        <v>0</v>
      </c>
      <c r="H15" s="385">
        <f ca="1">IFERROR(G15/G19,"(-%)")</f>
        <v>0</v>
      </c>
      <c r="I15" s="348" t="str">
        <f ca="1">Data!K149</f>
        <v>No data</v>
      </c>
      <c r="J15" s="388" t="str">
        <f ca="1">IFERROR(I15/I19,"(-%)")</f>
        <v>(-%)</v>
      </c>
      <c r="K15" s="348" t="str">
        <f ca="1">Data!K199</f>
        <v>No data</v>
      </c>
      <c r="L15" s="388" t="str">
        <f ca="1">IFERROR(K15/K19,"(-%)")</f>
        <v>(-%)</v>
      </c>
      <c r="M15" s="33"/>
      <c r="N15" s="33"/>
    </row>
    <row r="16" spans="1:14" ht="15" customHeight="1" x14ac:dyDescent="0.3">
      <c r="A16" s="33"/>
      <c r="B16" s="350"/>
      <c r="C16" s="363"/>
      <c r="D16" s="380"/>
      <c r="E16" s="383"/>
      <c r="F16" s="385"/>
      <c r="G16" s="389"/>
      <c r="H16" s="385"/>
      <c r="I16" s="348"/>
      <c r="J16" s="388"/>
      <c r="K16" s="348"/>
      <c r="L16" s="388"/>
      <c r="M16" s="33"/>
      <c r="N16" s="33"/>
    </row>
    <row r="17" spans="1:14" ht="15" customHeight="1" x14ac:dyDescent="0.3">
      <c r="A17" s="33"/>
      <c r="B17" s="350"/>
      <c r="C17" s="363"/>
      <c r="D17" s="386" t="s">
        <v>36</v>
      </c>
      <c r="E17" s="383" t="str">
        <f ca="1">Data!L49</f>
        <v>No data</v>
      </c>
      <c r="F17" s="385" t="str">
        <f ca="1">IFERROR(E17/E19,"(-%)")</f>
        <v>(-%)</v>
      </c>
      <c r="G17" s="389">
        <f ca="1">Data!L99</f>
        <v>0</v>
      </c>
      <c r="H17" s="385">
        <f ca="1">IFERROR(G17/G19,"(-%)")</f>
        <v>0</v>
      </c>
      <c r="I17" s="348" t="str">
        <f ca="1">Data!L149</f>
        <v>No data</v>
      </c>
      <c r="J17" s="388" t="str">
        <f ca="1">IFERROR(I17/I19,"(-%)")</f>
        <v>(-%)</v>
      </c>
      <c r="K17" s="348" t="str">
        <f ca="1">Data!L199</f>
        <v>No data</v>
      </c>
      <c r="L17" s="388" t="str">
        <f ca="1">IFERROR(K17/K19,"(-%)")</f>
        <v>(-%)</v>
      </c>
      <c r="M17" s="33"/>
      <c r="N17" s="33"/>
    </row>
    <row r="18" spans="1:14" ht="15" customHeight="1" x14ac:dyDescent="0.3">
      <c r="A18" s="33"/>
      <c r="B18" s="350"/>
      <c r="C18" s="363"/>
      <c r="D18" s="380"/>
      <c r="E18" s="383"/>
      <c r="F18" s="385"/>
      <c r="G18" s="389"/>
      <c r="H18" s="385"/>
      <c r="I18" s="348"/>
      <c r="J18" s="388"/>
      <c r="K18" s="348"/>
      <c r="L18" s="388"/>
      <c r="M18" s="33"/>
      <c r="N18" s="33"/>
    </row>
    <row r="19" spans="1:14" s="33" customFormat="1" ht="26.25" customHeight="1" thickBot="1" x14ac:dyDescent="0.35">
      <c r="B19" s="350"/>
      <c r="C19" s="364"/>
      <c r="D19" s="43" t="s">
        <v>167</v>
      </c>
      <c r="E19" s="399" t="str">
        <f ca="1">Data!M49</f>
        <v>No data</v>
      </c>
      <c r="F19" s="400"/>
      <c r="G19" s="401">
        <f ca="1">Data!M99</f>
        <v>2</v>
      </c>
      <c r="H19" s="400"/>
      <c r="I19" s="395" t="str">
        <f ca="1">Data!N149</f>
        <v>No data</v>
      </c>
      <c r="J19" s="396"/>
      <c r="K19" s="395" t="str">
        <f ca="1">Data!N199</f>
        <v>No data</v>
      </c>
      <c r="L19" s="396"/>
    </row>
    <row r="20" spans="1:14" ht="15" customHeight="1" thickTop="1" x14ac:dyDescent="0.3">
      <c r="A20" s="33"/>
      <c r="B20" s="350"/>
      <c r="C20" s="362" t="s">
        <v>10</v>
      </c>
      <c r="D20" s="381" t="s">
        <v>34</v>
      </c>
      <c r="E20" s="382" t="str">
        <f ca="1">Data!P49</f>
        <v>No data</v>
      </c>
      <c r="F20" s="384" t="str">
        <f ca="1">IFERROR(E20/E26,"(-%)")</f>
        <v>(-%)</v>
      </c>
      <c r="G20" s="390">
        <f ca="1">Data!P99</f>
        <v>6</v>
      </c>
      <c r="H20" s="384">
        <f ca="1">IFERROR(G20/G26,"(-%)")</f>
        <v>0.19354838709677419</v>
      </c>
      <c r="I20" s="410" t="str">
        <f ca="1">Data!P149</f>
        <v>No data</v>
      </c>
      <c r="J20" s="387" t="str">
        <f ca="1">IFERROR(I20/I26,"(-%)")</f>
        <v>(-%)</v>
      </c>
      <c r="K20" s="410" t="str">
        <f ca="1">Data!P199</f>
        <v>No data</v>
      </c>
      <c r="L20" s="387" t="str">
        <f ca="1">IFERROR(K20/K26,"(-%)")</f>
        <v>(-%)</v>
      </c>
      <c r="M20" s="33"/>
      <c r="N20" s="33"/>
    </row>
    <row r="21" spans="1:14" ht="15" customHeight="1" x14ac:dyDescent="0.3">
      <c r="A21" s="33"/>
      <c r="B21" s="350"/>
      <c r="C21" s="363"/>
      <c r="D21" s="380"/>
      <c r="E21" s="383"/>
      <c r="F21" s="385"/>
      <c r="G21" s="389"/>
      <c r="H21" s="385"/>
      <c r="I21" s="398"/>
      <c r="J21" s="388"/>
      <c r="K21" s="398"/>
      <c r="L21" s="388"/>
      <c r="M21" s="33"/>
      <c r="N21" s="33"/>
    </row>
    <row r="22" spans="1:14" ht="15" customHeight="1" x14ac:dyDescent="0.3">
      <c r="A22" s="33"/>
      <c r="B22" s="350"/>
      <c r="C22" s="363"/>
      <c r="D22" s="380" t="s">
        <v>35</v>
      </c>
      <c r="E22" s="383" t="str">
        <f ca="1">Data!Q49</f>
        <v>No data</v>
      </c>
      <c r="F22" s="385" t="str">
        <f ca="1">IFERROR(E22/E26,"(-%)")</f>
        <v>(-%)</v>
      </c>
      <c r="G22" s="389">
        <f ca="1">Data!Q99</f>
        <v>5</v>
      </c>
      <c r="H22" s="385">
        <f ca="1">IFERROR(G22/G26,"(-%)")</f>
        <v>0.16129032258064516</v>
      </c>
      <c r="I22" s="398" t="str">
        <f ca="1">Data!Q149</f>
        <v>No data</v>
      </c>
      <c r="J22" s="388" t="str">
        <f ca="1">IFERROR(I22/I26,"(-%)")</f>
        <v>(-%)</v>
      </c>
      <c r="K22" s="398" t="str">
        <f ca="1">Data!Q199</f>
        <v>No data</v>
      </c>
      <c r="L22" s="388" t="str">
        <f ca="1">IFERROR(K22/K26,"(-%)")</f>
        <v>(-%)</v>
      </c>
      <c r="M22" s="33"/>
      <c r="N22" s="33"/>
    </row>
    <row r="23" spans="1:14" ht="15" customHeight="1" x14ac:dyDescent="0.3">
      <c r="A23" s="33"/>
      <c r="B23" s="350"/>
      <c r="C23" s="363"/>
      <c r="D23" s="380"/>
      <c r="E23" s="383"/>
      <c r="F23" s="385"/>
      <c r="G23" s="389"/>
      <c r="H23" s="385"/>
      <c r="I23" s="398"/>
      <c r="J23" s="388"/>
      <c r="K23" s="398"/>
      <c r="L23" s="388"/>
      <c r="M23" s="33"/>
      <c r="N23" s="33"/>
    </row>
    <row r="24" spans="1:14" ht="15" customHeight="1" x14ac:dyDescent="0.3">
      <c r="A24" s="33"/>
      <c r="B24" s="350"/>
      <c r="C24" s="363"/>
      <c r="D24" s="386" t="s">
        <v>36</v>
      </c>
      <c r="E24" s="383" t="str">
        <f ca="1">Data!R49</f>
        <v>No data</v>
      </c>
      <c r="F24" s="385" t="str">
        <f ca="1">IFERROR(E24/E26,"(-%)")</f>
        <v>(-%)</v>
      </c>
      <c r="G24" s="389">
        <f ca="1">Data!R99</f>
        <v>0</v>
      </c>
      <c r="H24" s="385">
        <f ca="1">IFERROR(G24/G26,"(-%)")</f>
        <v>0</v>
      </c>
      <c r="I24" s="398" t="str">
        <f ca="1">Data!R149</f>
        <v>No data</v>
      </c>
      <c r="J24" s="388" t="str">
        <f ca="1">IFERROR(I24/I26,"(-%)")</f>
        <v>(-%)</v>
      </c>
      <c r="K24" s="398" t="str">
        <f ca="1">Data!R199</f>
        <v>No data</v>
      </c>
      <c r="L24" s="388" t="str">
        <f ca="1">IFERROR(K24/K26,"(-%)")</f>
        <v>(-%)</v>
      </c>
      <c r="M24" s="33"/>
      <c r="N24" s="33"/>
    </row>
    <row r="25" spans="1:14" ht="15" customHeight="1" x14ac:dyDescent="0.3">
      <c r="A25" s="33"/>
      <c r="B25" s="350"/>
      <c r="C25" s="363"/>
      <c r="D25" s="380"/>
      <c r="E25" s="383"/>
      <c r="F25" s="385"/>
      <c r="G25" s="389"/>
      <c r="H25" s="385"/>
      <c r="I25" s="398"/>
      <c r="J25" s="388"/>
      <c r="K25" s="398"/>
      <c r="L25" s="388"/>
      <c r="M25" s="33"/>
      <c r="N25" s="33"/>
    </row>
    <row r="26" spans="1:14" s="33" customFormat="1" ht="21.75" customHeight="1" thickBot="1" x14ac:dyDescent="0.35">
      <c r="B26" s="350"/>
      <c r="C26" s="363"/>
      <c r="D26" s="72" t="s">
        <v>167</v>
      </c>
      <c r="E26" s="391" t="str">
        <f ca="1">Data!S49</f>
        <v>No data</v>
      </c>
      <c r="F26" s="392"/>
      <c r="G26" s="401">
        <f ca="1">Data!S99</f>
        <v>31</v>
      </c>
      <c r="H26" s="400"/>
      <c r="I26" s="411" t="str">
        <f ca="1">Data!T149</f>
        <v>No data</v>
      </c>
      <c r="J26" s="397"/>
      <c r="K26" s="411" t="str">
        <f ca="1">Data!T199</f>
        <v>No data</v>
      </c>
      <c r="L26" s="397"/>
    </row>
    <row r="27" spans="1:14" ht="27.75" customHeight="1" thickTop="1" thickBot="1" x14ac:dyDescent="0.35">
      <c r="A27" s="33"/>
      <c r="B27" s="394" t="s">
        <v>3</v>
      </c>
      <c r="C27" s="394" t="s">
        <v>9</v>
      </c>
      <c r="D27" s="406"/>
      <c r="E27" s="407" t="str">
        <f ca="1">Data!U49</f>
        <v>No data</v>
      </c>
      <c r="F27" s="408"/>
      <c r="G27" s="409">
        <f ca="1">Data!U99</f>
        <v>0.1</v>
      </c>
      <c r="H27" s="408"/>
      <c r="I27" s="403" t="str">
        <f ca="1">Data!U149</f>
        <v>No data</v>
      </c>
      <c r="J27" s="405"/>
      <c r="K27" s="403" t="str">
        <f ca="1">Data!U199</f>
        <v>No data</v>
      </c>
      <c r="L27" s="405"/>
      <c r="M27" s="33"/>
      <c r="N27" s="33"/>
    </row>
    <row r="28" spans="1:14" ht="24" customHeight="1" thickTop="1" thickBot="1" x14ac:dyDescent="0.35">
      <c r="A28" s="33"/>
      <c r="B28" s="394"/>
      <c r="C28" s="394" t="s">
        <v>10</v>
      </c>
      <c r="D28" s="406"/>
      <c r="E28" s="407" t="str">
        <f ca="1">Data!V49</f>
        <v>No data</v>
      </c>
      <c r="F28" s="408"/>
      <c r="G28" s="409">
        <f ca="1">Data!V99</f>
        <v>7.0000000000000007E-2</v>
      </c>
      <c r="H28" s="408"/>
      <c r="I28" s="403" t="str">
        <f ca="1">Data!V149</f>
        <v>No data</v>
      </c>
      <c r="J28" s="405"/>
      <c r="K28" s="403" t="str">
        <f ca="1">Data!V199</f>
        <v>No data</v>
      </c>
      <c r="L28" s="405"/>
      <c r="M28" s="33"/>
      <c r="N28" s="33"/>
    </row>
    <row r="29" spans="1:14" ht="15" thickTop="1" x14ac:dyDescent="0.3">
      <c r="A29" s="33"/>
      <c r="E29" s="33"/>
      <c r="G29" s="33"/>
      <c r="I29" s="33"/>
      <c r="K29" s="33"/>
      <c r="M29" s="33"/>
      <c r="N29" s="33"/>
    </row>
    <row r="30" spans="1:14" x14ac:dyDescent="0.3">
      <c r="A30" s="33"/>
      <c r="B30" s="11"/>
      <c r="C30" s="11"/>
      <c r="D30" s="11"/>
      <c r="E30" s="12"/>
      <c r="F30" s="40"/>
      <c r="G30" s="12"/>
      <c r="H30" s="12"/>
      <c r="I30" s="12"/>
      <c r="J30" s="12"/>
      <c r="K30" s="12"/>
      <c r="L30" s="12"/>
      <c r="M30" s="33"/>
      <c r="N30" s="33"/>
    </row>
    <row r="31" spans="1:14" x14ac:dyDescent="0.3">
      <c r="A31" s="33"/>
      <c r="B31" s="402" t="s">
        <v>44</v>
      </c>
      <c r="C31" s="402"/>
      <c r="D31" s="402"/>
      <c r="E31" s="402"/>
      <c r="F31" s="279"/>
      <c r="G31" s="12"/>
      <c r="H31" s="12"/>
      <c r="I31" s="12"/>
      <c r="J31" s="12"/>
      <c r="K31" s="12"/>
      <c r="L31" s="12"/>
      <c r="M31" s="33"/>
      <c r="N31" s="33"/>
    </row>
    <row r="32" spans="1:14" x14ac:dyDescent="0.3">
      <c r="A32" s="33"/>
      <c r="B32" s="11"/>
      <c r="C32" s="11"/>
      <c r="D32" s="11"/>
      <c r="E32" s="12"/>
      <c r="F32" s="40"/>
      <c r="G32" s="12"/>
      <c r="H32" s="12"/>
      <c r="I32" s="12"/>
      <c r="J32" s="12"/>
      <c r="K32" s="12"/>
      <c r="L32" s="12"/>
      <c r="M32" s="33"/>
      <c r="N32" s="33"/>
    </row>
    <row r="33" spans="1:14" x14ac:dyDescent="0.3">
      <c r="A33" s="33"/>
      <c r="B33" s="11"/>
      <c r="C33" s="11"/>
      <c r="D33" s="11"/>
      <c r="E33" s="12"/>
      <c r="F33" s="40"/>
      <c r="G33" s="12"/>
      <c r="H33" s="12"/>
      <c r="I33" s="12"/>
      <c r="J33" s="12"/>
      <c r="K33" s="12"/>
      <c r="L33" s="12"/>
      <c r="M33" s="33"/>
      <c r="N33" s="33"/>
    </row>
    <row r="34" spans="1:14" x14ac:dyDescent="0.3">
      <c r="A34" s="33"/>
      <c r="B34" s="11"/>
      <c r="C34" s="11"/>
      <c r="D34" s="11"/>
      <c r="E34" s="12"/>
      <c r="F34" s="40"/>
      <c r="G34" s="12"/>
      <c r="H34" s="12"/>
      <c r="I34" s="12"/>
      <c r="J34" s="12"/>
      <c r="K34" s="12"/>
      <c r="L34" s="12"/>
      <c r="M34" s="33"/>
      <c r="N34" s="33"/>
    </row>
    <row r="35" spans="1:14" x14ac:dyDescent="0.3">
      <c r="A35" s="33"/>
      <c r="B35" s="11"/>
      <c r="C35" s="11"/>
      <c r="D35" s="11"/>
      <c r="E35" s="12"/>
      <c r="F35" s="40"/>
      <c r="G35" s="12"/>
      <c r="H35" s="12"/>
      <c r="I35" s="12"/>
      <c r="J35" s="12"/>
      <c r="K35" s="12"/>
      <c r="L35" s="12"/>
      <c r="M35" s="33"/>
      <c r="N35" s="33"/>
    </row>
    <row r="36" spans="1:14" x14ac:dyDescent="0.3">
      <c r="A36" s="33"/>
      <c r="B36" s="11"/>
      <c r="C36" s="11"/>
      <c r="D36" s="11"/>
      <c r="E36" s="12"/>
      <c r="F36" s="40"/>
      <c r="G36" s="12"/>
      <c r="H36" s="12"/>
      <c r="I36" s="12"/>
      <c r="J36" s="12"/>
      <c r="K36" s="12"/>
      <c r="L36" s="12"/>
      <c r="M36" s="33"/>
      <c r="N36" s="33"/>
    </row>
    <row r="37" spans="1:14" x14ac:dyDescent="0.3">
      <c r="A37" s="33"/>
      <c r="B37" s="11"/>
      <c r="C37" s="11"/>
      <c r="D37" s="11"/>
      <c r="E37" s="12"/>
      <c r="F37" s="40"/>
      <c r="G37" s="12"/>
      <c r="H37" s="12"/>
      <c r="I37" s="12"/>
      <c r="J37" s="12"/>
      <c r="K37" s="12"/>
      <c r="L37" s="12"/>
      <c r="M37" s="33"/>
      <c r="N37" s="33"/>
    </row>
    <row r="38" spans="1:14" x14ac:dyDescent="0.3">
      <c r="A38" s="33"/>
      <c r="B38" s="11"/>
      <c r="C38" s="11"/>
      <c r="D38" s="11"/>
      <c r="E38" s="12"/>
      <c r="F38" s="40"/>
      <c r="G38" s="12"/>
      <c r="H38" s="12"/>
      <c r="I38" s="12"/>
      <c r="J38" s="12"/>
      <c r="K38" s="12"/>
      <c r="L38" s="12"/>
      <c r="M38" s="33"/>
      <c r="N38" s="33"/>
    </row>
    <row r="39" spans="1:14" x14ac:dyDescent="0.3">
      <c r="A39" s="33"/>
      <c r="B39" s="11"/>
      <c r="C39" s="11"/>
      <c r="D39" s="11"/>
      <c r="E39" s="12"/>
      <c r="F39" s="40"/>
      <c r="G39" s="12"/>
      <c r="H39" s="12"/>
      <c r="I39" s="12"/>
      <c r="J39" s="12"/>
      <c r="K39" s="12"/>
      <c r="L39" s="12"/>
      <c r="M39" s="33"/>
      <c r="N39" s="33"/>
    </row>
    <row r="40" spans="1:14" x14ac:dyDescent="0.3">
      <c r="A40" s="33"/>
      <c r="B40" s="11"/>
      <c r="C40" s="11"/>
      <c r="D40" s="11"/>
      <c r="E40" s="12"/>
      <c r="F40" s="40"/>
      <c r="G40" s="12"/>
      <c r="H40" s="12"/>
      <c r="I40" s="12"/>
      <c r="J40" s="12"/>
      <c r="K40" s="12"/>
      <c r="L40" s="12"/>
      <c r="M40" s="33"/>
      <c r="N40" s="33"/>
    </row>
    <row r="41" spans="1:14" x14ac:dyDescent="0.3">
      <c r="A41" s="33"/>
      <c r="B41" s="11"/>
      <c r="C41" s="11"/>
      <c r="D41" s="11"/>
      <c r="E41" s="12"/>
      <c r="F41" s="40"/>
      <c r="G41" s="12"/>
      <c r="H41" s="12"/>
      <c r="I41" s="12"/>
      <c r="J41" s="12"/>
      <c r="K41" s="12"/>
      <c r="L41" s="12"/>
      <c r="M41" s="33"/>
      <c r="N41" s="33"/>
    </row>
    <row r="42" spans="1:14" x14ac:dyDescent="0.3">
      <c r="A42" s="33"/>
      <c r="B42" s="11"/>
      <c r="C42" s="11"/>
      <c r="D42" s="11"/>
      <c r="E42" s="12"/>
      <c r="F42" s="40"/>
      <c r="G42" s="12"/>
      <c r="H42" s="12"/>
      <c r="I42" s="12"/>
      <c r="J42" s="12"/>
      <c r="K42" s="12"/>
      <c r="L42" s="12"/>
      <c r="M42" s="33"/>
      <c r="N42" s="33"/>
    </row>
    <row r="43" spans="1:14" x14ac:dyDescent="0.3">
      <c r="A43" s="33"/>
      <c r="B43" s="11"/>
      <c r="C43" s="11"/>
      <c r="D43" s="11"/>
      <c r="E43" s="12"/>
      <c r="F43" s="40"/>
      <c r="G43" s="12"/>
      <c r="H43" s="12"/>
      <c r="I43" s="12"/>
      <c r="J43" s="12"/>
      <c r="K43" s="12"/>
      <c r="L43" s="12"/>
      <c r="M43" s="33"/>
      <c r="N43" s="33"/>
    </row>
    <row r="44" spans="1:14" x14ac:dyDescent="0.3">
      <c r="A44" s="33"/>
      <c r="B44" s="11"/>
      <c r="C44" s="11"/>
      <c r="D44" s="11"/>
      <c r="E44" s="12"/>
      <c r="F44" s="40"/>
      <c r="G44" s="12"/>
      <c r="H44" s="12"/>
      <c r="I44" s="12"/>
      <c r="J44" s="12"/>
      <c r="K44" s="12"/>
      <c r="L44" s="12"/>
      <c r="M44" s="33"/>
      <c r="N44" s="33"/>
    </row>
    <row r="45" spans="1:14" x14ac:dyDescent="0.3">
      <c r="A45" s="33"/>
      <c r="B45" s="11"/>
      <c r="C45" s="11"/>
      <c r="D45" s="11"/>
      <c r="E45" s="12"/>
      <c r="F45" s="40"/>
      <c r="G45" s="12"/>
      <c r="H45" s="12"/>
      <c r="I45" s="12"/>
      <c r="J45" s="12"/>
      <c r="K45" s="12"/>
      <c r="L45" s="12"/>
      <c r="M45" s="33"/>
      <c r="N45" s="33"/>
    </row>
    <row r="46" spans="1:14" x14ac:dyDescent="0.3">
      <c r="A46" s="33"/>
      <c r="B46" s="11"/>
      <c r="C46" s="11"/>
      <c r="D46" s="11"/>
      <c r="E46" s="12"/>
      <c r="F46" s="40"/>
      <c r="G46" s="12"/>
      <c r="H46" s="12"/>
      <c r="I46" s="12"/>
      <c r="J46" s="12"/>
      <c r="K46" s="12"/>
      <c r="L46" s="12"/>
      <c r="M46" s="33"/>
      <c r="N46" s="33"/>
    </row>
    <row r="47" spans="1:14" x14ac:dyDescent="0.3">
      <c r="A47" s="33"/>
      <c r="B47" s="11"/>
      <c r="C47" s="11"/>
      <c r="D47" s="11"/>
      <c r="E47" s="12"/>
      <c r="F47" s="40"/>
      <c r="G47" s="12"/>
      <c r="H47" s="12"/>
      <c r="I47" s="12"/>
      <c r="J47" s="12"/>
      <c r="K47" s="12"/>
      <c r="L47" s="12"/>
      <c r="M47" s="33"/>
      <c r="N47" s="33"/>
    </row>
    <row r="48" spans="1:14" x14ac:dyDescent="0.3">
      <c r="A48" s="33"/>
      <c r="B48" s="11"/>
      <c r="C48" s="11"/>
      <c r="D48" s="11"/>
      <c r="E48" s="12"/>
      <c r="F48" s="40"/>
      <c r="G48" s="12"/>
      <c r="H48" s="12"/>
      <c r="I48" s="12"/>
      <c r="J48" s="12"/>
      <c r="K48" s="12"/>
      <c r="L48" s="12"/>
      <c r="M48" s="33"/>
      <c r="N48" s="33"/>
    </row>
    <row r="49" spans="1:14" x14ac:dyDescent="0.3">
      <c r="A49" s="33"/>
      <c r="B49" s="11"/>
      <c r="C49" s="11"/>
      <c r="D49" s="11"/>
      <c r="E49" s="12"/>
      <c r="F49" s="40"/>
      <c r="G49" s="12"/>
      <c r="H49" s="12"/>
      <c r="I49" s="12"/>
      <c r="J49" s="12"/>
      <c r="K49" s="12"/>
      <c r="L49" s="12"/>
      <c r="M49" s="33"/>
      <c r="N49" s="33"/>
    </row>
    <row r="50" spans="1:14" x14ac:dyDescent="0.3">
      <c r="A50" s="33"/>
      <c r="B50" s="11"/>
      <c r="C50" s="11"/>
      <c r="D50" s="11"/>
      <c r="E50" s="12"/>
      <c r="F50" s="40"/>
      <c r="G50" s="12"/>
      <c r="H50" s="12"/>
      <c r="I50" s="12"/>
      <c r="J50" s="12"/>
      <c r="K50" s="12"/>
      <c r="L50" s="12"/>
      <c r="M50" s="33"/>
      <c r="N50" s="33"/>
    </row>
    <row r="51" spans="1:14" x14ac:dyDescent="0.3">
      <c r="A51" s="33"/>
      <c r="B51" s="11"/>
      <c r="C51" s="11"/>
      <c r="D51" s="11"/>
      <c r="E51" s="12"/>
      <c r="F51" s="40"/>
      <c r="G51" s="12"/>
      <c r="H51" s="12"/>
      <c r="I51" s="12"/>
      <c r="J51" s="12"/>
      <c r="K51" s="12"/>
      <c r="L51" s="12"/>
      <c r="M51" s="33"/>
      <c r="N51" s="33"/>
    </row>
    <row r="52" spans="1:14" s="33" customFormat="1" ht="22.5" customHeight="1" x14ac:dyDescent="0.3">
      <c r="B52" s="89" t="s">
        <v>97</v>
      </c>
      <c r="C52" s="12"/>
      <c r="D52" s="11"/>
      <c r="E52" s="11"/>
      <c r="F52" s="12"/>
      <c r="G52" s="40"/>
      <c r="H52" s="12"/>
      <c r="I52" s="12"/>
      <c r="J52" s="12"/>
      <c r="K52" s="12"/>
      <c r="L52" s="12"/>
    </row>
    <row r="53" spans="1:14" x14ac:dyDescent="0.3">
      <c r="A53" s="33"/>
      <c r="B53" s="11"/>
      <c r="C53" s="11"/>
      <c r="D53" s="11"/>
      <c r="E53" s="12"/>
      <c r="F53" s="40"/>
      <c r="G53" s="12"/>
      <c r="H53" s="12"/>
      <c r="I53" s="12"/>
      <c r="J53" s="12"/>
      <c r="K53" s="12"/>
      <c r="L53" s="12"/>
      <c r="M53" s="33"/>
      <c r="N53" s="33"/>
    </row>
    <row r="54" spans="1:14" x14ac:dyDescent="0.3">
      <c r="A54" s="33"/>
      <c r="B54" s="11"/>
      <c r="C54" s="11"/>
      <c r="D54" s="11"/>
      <c r="E54" s="12"/>
      <c r="F54" s="40"/>
      <c r="G54" s="12"/>
      <c r="H54" s="12"/>
      <c r="I54" s="12"/>
      <c r="J54" s="12"/>
      <c r="K54" s="12"/>
      <c r="L54" s="12"/>
      <c r="M54" s="33"/>
      <c r="N54" s="33"/>
    </row>
    <row r="55" spans="1:14" x14ac:dyDescent="0.3">
      <c r="A55" s="33"/>
      <c r="B55" s="11"/>
      <c r="C55" s="11"/>
      <c r="D55" s="11"/>
      <c r="E55" s="12"/>
      <c r="F55" s="40"/>
      <c r="G55" s="12"/>
      <c r="H55" s="12"/>
      <c r="I55" s="12"/>
      <c r="J55" s="12"/>
      <c r="K55" s="12"/>
      <c r="L55" s="12"/>
      <c r="M55" s="33"/>
      <c r="N55" s="33"/>
    </row>
    <row r="56" spans="1:14" x14ac:dyDescent="0.3">
      <c r="A56" s="33"/>
      <c r="B56" s="11"/>
      <c r="C56" s="11"/>
      <c r="D56" s="11"/>
      <c r="E56" s="12"/>
      <c r="F56" s="40"/>
      <c r="G56" s="12"/>
      <c r="H56" s="12"/>
      <c r="I56" s="12"/>
      <c r="J56" s="12"/>
      <c r="K56" s="12"/>
      <c r="L56" s="12"/>
      <c r="M56" s="33"/>
      <c r="N56" s="33"/>
    </row>
    <row r="57" spans="1:14" x14ac:dyDescent="0.3">
      <c r="A57" s="33"/>
      <c r="B57" s="11"/>
      <c r="C57" s="11"/>
      <c r="D57" s="11"/>
      <c r="E57" s="12"/>
      <c r="F57" s="40"/>
      <c r="G57" s="12"/>
      <c r="H57" s="12"/>
      <c r="I57" s="12"/>
      <c r="J57" s="12"/>
      <c r="K57" s="12"/>
      <c r="L57" s="12"/>
      <c r="M57" s="33"/>
      <c r="N57" s="33"/>
    </row>
    <row r="58" spans="1:14" x14ac:dyDescent="0.3">
      <c r="A58" s="33"/>
      <c r="B58" s="11"/>
      <c r="C58" s="11"/>
      <c r="D58" s="11"/>
      <c r="E58" s="12"/>
      <c r="F58" s="40"/>
      <c r="G58" s="12"/>
      <c r="H58" s="12"/>
      <c r="I58" s="12"/>
      <c r="J58" s="12"/>
      <c r="K58" s="12"/>
      <c r="L58" s="12"/>
      <c r="M58" s="33"/>
      <c r="N58" s="33"/>
    </row>
    <row r="59" spans="1:14" x14ac:dyDescent="0.3">
      <c r="A59" s="33"/>
      <c r="B59" s="11"/>
      <c r="C59" s="11"/>
      <c r="D59" s="11"/>
      <c r="E59" s="12"/>
      <c r="F59" s="40"/>
      <c r="G59" s="12"/>
      <c r="H59" s="12"/>
      <c r="I59" s="12"/>
      <c r="J59" s="12"/>
      <c r="K59" s="12"/>
      <c r="L59" s="12"/>
      <c r="M59" s="33"/>
      <c r="N59" s="33"/>
    </row>
    <row r="60" spans="1:14" x14ac:dyDescent="0.3">
      <c r="A60" s="33"/>
      <c r="B60" s="11"/>
      <c r="C60" s="11"/>
      <c r="D60" s="11"/>
      <c r="E60" s="12"/>
      <c r="F60" s="40"/>
      <c r="G60" s="12"/>
      <c r="H60" s="12"/>
      <c r="I60" s="12"/>
      <c r="J60" s="12"/>
      <c r="K60" s="12"/>
      <c r="L60" s="12"/>
      <c r="M60" s="33"/>
      <c r="N60" s="33"/>
    </row>
    <row r="61" spans="1:14" x14ac:dyDescent="0.3">
      <c r="A61" s="33"/>
      <c r="B61" s="11"/>
      <c r="C61" s="11"/>
      <c r="D61" s="11"/>
      <c r="E61" s="12"/>
      <c r="F61" s="40"/>
      <c r="G61" s="12"/>
      <c r="H61" s="12"/>
      <c r="I61" s="12"/>
      <c r="J61" s="12"/>
      <c r="K61" s="12"/>
      <c r="L61" s="12"/>
      <c r="M61" s="33"/>
      <c r="N61" s="33"/>
    </row>
    <row r="62" spans="1:14" x14ac:dyDescent="0.3">
      <c r="A62" s="33"/>
      <c r="B62" s="11"/>
      <c r="C62" s="11"/>
      <c r="D62" s="11"/>
      <c r="E62" s="12"/>
      <c r="F62" s="40"/>
      <c r="G62" s="12"/>
      <c r="H62" s="12"/>
      <c r="I62" s="12"/>
      <c r="J62" s="12"/>
      <c r="K62" s="12"/>
      <c r="L62" s="12"/>
      <c r="M62" s="33"/>
      <c r="N62" s="33"/>
    </row>
    <row r="63" spans="1:14" x14ac:dyDescent="0.3">
      <c r="A63" s="33"/>
      <c r="B63" s="11"/>
      <c r="C63" s="11"/>
      <c r="D63" s="11"/>
      <c r="E63" s="12"/>
      <c r="F63" s="40"/>
      <c r="G63" s="12"/>
      <c r="H63" s="12"/>
      <c r="I63" s="12"/>
      <c r="J63" s="12"/>
      <c r="K63" s="12"/>
      <c r="L63" s="12"/>
      <c r="M63" s="33"/>
      <c r="N63" s="33"/>
    </row>
    <row r="64" spans="1:14" x14ac:dyDescent="0.3">
      <c r="A64" s="33"/>
      <c r="B64" s="11"/>
      <c r="C64" s="11"/>
      <c r="D64" s="11"/>
      <c r="E64" s="12"/>
      <c r="F64" s="40"/>
      <c r="G64" s="12"/>
      <c r="H64" s="12"/>
      <c r="I64" s="12"/>
      <c r="J64" s="12"/>
      <c r="K64" s="12"/>
      <c r="L64" s="12"/>
      <c r="M64" s="33"/>
      <c r="N64" s="33"/>
    </row>
    <row r="65" spans="1:14" x14ac:dyDescent="0.3">
      <c r="A65" s="33"/>
      <c r="B65" s="11"/>
      <c r="C65" s="11"/>
      <c r="D65" s="11"/>
      <c r="E65" s="12"/>
      <c r="F65" s="40"/>
      <c r="G65" s="12"/>
      <c r="H65" s="12"/>
      <c r="I65" s="12"/>
      <c r="J65" s="12"/>
      <c r="K65" s="12"/>
      <c r="L65" s="12"/>
      <c r="M65" s="33"/>
      <c r="N65" s="33"/>
    </row>
    <row r="66" spans="1:14" x14ac:dyDescent="0.3">
      <c r="A66" s="33"/>
      <c r="B66" s="11"/>
      <c r="C66" s="11"/>
      <c r="D66" s="11"/>
      <c r="E66" s="12"/>
      <c r="F66" s="40"/>
      <c r="G66" s="12"/>
      <c r="H66" s="12"/>
      <c r="I66" s="12"/>
      <c r="J66" s="12"/>
      <c r="K66" s="12"/>
      <c r="L66" s="12"/>
      <c r="M66" s="33"/>
      <c r="N66" s="33"/>
    </row>
    <row r="67" spans="1:14" x14ac:dyDescent="0.3">
      <c r="A67" s="33"/>
      <c r="B67" s="11"/>
      <c r="C67" s="11"/>
      <c r="D67" s="11"/>
      <c r="E67" s="12"/>
      <c r="F67" s="40"/>
      <c r="G67" s="12"/>
      <c r="H67" s="12"/>
      <c r="I67" s="12"/>
      <c r="J67" s="12"/>
      <c r="K67" s="12"/>
      <c r="L67" s="12"/>
      <c r="M67" s="33"/>
      <c r="N67" s="33"/>
    </row>
    <row r="68" spans="1:14" x14ac:dyDescent="0.3">
      <c r="A68" s="33"/>
      <c r="B68" s="11"/>
      <c r="C68" s="11"/>
      <c r="D68" s="11"/>
      <c r="E68" s="12"/>
      <c r="F68" s="40"/>
      <c r="G68" s="12"/>
      <c r="H68" s="12"/>
      <c r="I68" s="12"/>
      <c r="J68" s="12"/>
      <c r="K68" s="12"/>
      <c r="L68" s="12"/>
      <c r="M68" s="33"/>
      <c r="N68" s="33"/>
    </row>
    <row r="69" spans="1:14" x14ac:dyDescent="0.3">
      <c r="A69" s="33"/>
      <c r="B69" s="11"/>
      <c r="C69" s="11"/>
      <c r="D69" s="11"/>
      <c r="E69" s="12"/>
      <c r="F69" s="40"/>
      <c r="G69" s="12"/>
      <c r="H69" s="12"/>
      <c r="I69" s="12"/>
      <c r="J69" s="12"/>
      <c r="K69" s="12"/>
      <c r="L69" s="12"/>
      <c r="M69" s="33"/>
      <c r="N69" s="33"/>
    </row>
    <row r="70" spans="1:14" x14ac:dyDescent="0.3">
      <c r="A70" s="33"/>
      <c r="B70" s="11"/>
      <c r="C70" s="11"/>
      <c r="D70" s="11"/>
      <c r="E70" s="12"/>
      <c r="F70" s="40"/>
      <c r="G70" s="12"/>
      <c r="H70" s="12"/>
      <c r="I70" s="12"/>
      <c r="J70" s="12"/>
      <c r="K70" s="12"/>
      <c r="L70" s="12"/>
      <c r="M70" s="33"/>
      <c r="N70" s="33"/>
    </row>
    <row r="71" spans="1:14" x14ac:dyDescent="0.3">
      <c r="A71" s="33"/>
      <c r="B71" s="89" t="s">
        <v>98</v>
      </c>
      <c r="C71" s="11"/>
      <c r="D71" s="11"/>
      <c r="E71" s="12"/>
      <c r="F71" s="40"/>
      <c r="G71" s="12"/>
      <c r="H71" s="12"/>
      <c r="I71" s="12"/>
      <c r="J71" s="12"/>
      <c r="K71" s="12"/>
      <c r="L71" s="12"/>
      <c r="M71" s="33"/>
      <c r="N71" s="33"/>
    </row>
    <row r="72" spans="1:14" x14ac:dyDescent="0.3">
      <c r="A72" s="33"/>
      <c r="B72" s="11"/>
      <c r="C72" s="11"/>
      <c r="D72" s="11"/>
      <c r="E72" s="12"/>
      <c r="F72" s="40"/>
      <c r="G72" s="12"/>
      <c r="H72" s="12"/>
      <c r="I72" s="12"/>
      <c r="J72" s="12"/>
      <c r="K72" s="12"/>
      <c r="L72" s="12"/>
      <c r="M72" s="33"/>
      <c r="N72" s="33"/>
    </row>
    <row r="73" spans="1:14" x14ac:dyDescent="0.3">
      <c r="A73" s="33"/>
      <c r="B73" s="11"/>
      <c r="C73" s="11"/>
      <c r="D73" s="11"/>
      <c r="E73" s="12"/>
      <c r="F73" s="40"/>
      <c r="G73" s="12"/>
      <c r="H73" s="12"/>
      <c r="I73" s="12"/>
      <c r="J73" s="12"/>
      <c r="K73" s="12"/>
      <c r="L73" s="12"/>
      <c r="M73" s="33"/>
      <c r="N73" s="33"/>
    </row>
    <row r="74" spans="1:14" x14ac:dyDescent="0.3">
      <c r="A74" s="33"/>
      <c r="B74" s="11"/>
      <c r="C74" s="11"/>
      <c r="D74" s="11"/>
      <c r="E74" s="12"/>
      <c r="F74" s="40"/>
      <c r="G74" s="12"/>
      <c r="H74" s="12"/>
      <c r="I74" s="12"/>
      <c r="J74" s="12"/>
      <c r="K74" s="12"/>
      <c r="L74" s="12"/>
      <c r="M74" s="33"/>
      <c r="N74" s="33"/>
    </row>
    <row r="75" spans="1:14" x14ac:dyDescent="0.3">
      <c r="A75" s="33"/>
      <c r="B75" s="11"/>
      <c r="C75" s="11"/>
      <c r="D75" s="11"/>
      <c r="E75" s="12"/>
      <c r="F75" s="40"/>
      <c r="G75" s="12"/>
      <c r="H75" s="12"/>
      <c r="I75" s="12"/>
      <c r="J75" s="12"/>
      <c r="K75" s="12"/>
      <c r="L75" s="12"/>
      <c r="M75" s="33"/>
      <c r="N75" s="33"/>
    </row>
    <row r="76" spans="1:14" x14ac:dyDescent="0.3">
      <c r="A76" s="33"/>
      <c r="B76" s="11"/>
      <c r="C76" s="11"/>
      <c r="D76" s="11"/>
      <c r="E76" s="12"/>
      <c r="F76" s="40"/>
      <c r="G76" s="12"/>
      <c r="H76" s="12"/>
      <c r="I76" s="12"/>
      <c r="J76" s="12"/>
      <c r="K76" s="12"/>
      <c r="L76" s="12"/>
      <c r="M76" s="33"/>
      <c r="N76" s="33"/>
    </row>
    <row r="77" spans="1:14" x14ac:dyDescent="0.3">
      <c r="A77" s="33"/>
      <c r="B77" s="11"/>
      <c r="C77" s="11"/>
      <c r="D77" s="11"/>
      <c r="E77" s="12"/>
      <c r="F77" s="40"/>
      <c r="G77" s="12"/>
      <c r="H77" s="12"/>
      <c r="I77" s="12"/>
      <c r="J77" s="12"/>
      <c r="K77" s="12"/>
      <c r="L77" s="12"/>
      <c r="M77" s="33"/>
      <c r="N77" s="33"/>
    </row>
    <row r="78" spans="1:14" x14ac:dyDescent="0.3">
      <c r="A78" s="33"/>
      <c r="B78" s="11"/>
      <c r="C78" s="11"/>
      <c r="D78" s="11"/>
      <c r="E78" s="12"/>
      <c r="F78" s="40"/>
      <c r="G78" s="12"/>
      <c r="H78" s="12"/>
      <c r="I78" s="12"/>
      <c r="J78" s="12"/>
      <c r="K78" s="12"/>
      <c r="L78" s="12"/>
      <c r="M78" s="33"/>
      <c r="N78" s="33"/>
    </row>
    <row r="79" spans="1:14" x14ac:dyDescent="0.3">
      <c r="A79" s="33"/>
      <c r="B79" s="11"/>
      <c r="C79" s="11"/>
      <c r="D79" s="11"/>
      <c r="E79" s="12"/>
      <c r="F79" s="40"/>
      <c r="G79" s="12"/>
      <c r="H79" s="12"/>
      <c r="I79" s="12"/>
      <c r="J79" s="12"/>
      <c r="K79" s="12"/>
      <c r="L79" s="12"/>
      <c r="M79" s="33"/>
      <c r="N79" s="33"/>
    </row>
    <row r="80" spans="1:14" x14ac:dyDescent="0.3">
      <c r="A80" s="33"/>
      <c r="B80" s="11"/>
      <c r="C80" s="11"/>
      <c r="D80" s="11"/>
      <c r="E80" s="12"/>
      <c r="F80" s="40"/>
      <c r="G80" s="12"/>
      <c r="H80" s="12"/>
      <c r="I80" s="12"/>
      <c r="J80" s="12"/>
      <c r="K80" s="12"/>
      <c r="L80" s="12"/>
      <c r="M80" s="33"/>
      <c r="N80" s="33"/>
    </row>
    <row r="81" spans="1:14" x14ac:dyDescent="0.3">
      <c r="A81" s="33"/>
      <c r="B81" s="11"/>
      <c r="C81" s="11"/>
      <c r="D81" s="11"/>
      <c r="E81" s="12"/>
      <c r="F81" s="40"/>
      <c r="G81" s="12"/>
      <c r="H81" s="12"/>
      <c r="I81" s="12"/>
      <c r="J81" s="12"/>
      <c r="K81" s="12"/>
      <c r="L81" s="12"/>
      <c r="M81" s="33"/>
      <c r="N81" s="33"/>
    </row>
    <row r="82" spans="1:14" x14ac:dyDescent="0.3">
      <c r="A82" s="33"/>
      <c r="B82" s="11"/>
      <c r="C82" s="11"/>
      <c r="D82" s="11"/>
      <c r="E82" s="12"/>
      <c r="F82" s="40"/>
      <c r="G82" s="12"/>
      <c r="H82" s="12"/>
      <c r="I82" s="12"/>
      <c r="J82" s="12"/>
      <c r="K82" s="12"/>
      <c r="L82" s="12"/>
      <c r="M82" s="33"/>
      <c r="N82" s="33"/>
    </row>
    <row r="83" spans="1:14" x14ac:dyDescent="0.3">
      <c r="A83" s="33"/>
      <c r="B83" s="11"/>
      <c r="C83" s="11"/>
      <c r="D83" s="11"/>
      <c r="E83" s="12"/>
      <c r="F83" s="40"/>
      <c r="G83" s="12"/>
      <c r="H83" s="12"/>
      <c r="I83" s="12"/>
      <c r="J83" s="12"/>
      <c r="K83" s="12"/>
      <c r="L83" s="12"/>
      <c r="M83" s="33"/>
      <c r="N83" s="33"/>
    </row>
    <row r="84" spans="1:14" x14ac:dyDescent="0.3">
      <c r="A84" s="33"/>
      <c r="B84" s="11"/>
      <c r="C84" s="11"/>
      <c r="D84" s="11"/>
      <c r="E84" s="12"/>
      <c r="F84" s="40"/>
      <c r="G84" s="12"/>
      <c r="H84" s="12"/>
      <c r="I84" s="12"/>
      <c r="J84" s="12"/>
      <c r="K84" s="12"/>
      <c r="L84" s="12"/>
      <c r="M84" s="33"/>
      <c r="N84" s="33"/>
    </row>
    <row r="85" spans="1:14" x14ac:dyDescent="0.3">
      <c r="A85" s="33"/>
      <c r="B85" s="11"/>
      <c r="C85" s="11"/>
      <c r="D85" s="11"/>
      <c r="E85" s="12"/>
      <c r="F85" s="40"/>
      <c r="G85" s="12"/>
      <c r="H85" s="12"/>
      <c r="I85" s="12"/>
      <c r="J85" s="12"/>
      <c r="K85" s="12"/>
      <c r="L85" s="12"/>
      <c r="M85" s="33"/>
      <c r="N85" s="33"/>
    </row>
    <row r="86" spans="1:14" x14ac:dyDescent="0.3">
      <c r="A86" s="33"/>
      <c r="B86" s="11"/>
      <c r="C86" s="11"/>
      <c r="D86" s="11"/>
      <c r="E86" s="12"/>
      <c r="F86" s="40"/>
      <c r="G86" s="12"/>
      <c r="H86" s="12"/>
      <c r="I86" s="12"/>
      <c r="J86" s="12"/>
      <c r="K86" s="12"/>
      <c r="L86" s="12"/>
      <c r="M86" s="33"/>
      <c r="N86" s="33"/>
    </row>
    <row r="87" spans="1:14" x14ac:dyDescent="0.3">
      <c r="A87" s="33"/>
      <c r="B87" s="11"/>
      <c r="C87" s="11"/>
      <c r="D87" s="11"/>
      <c r="E87" s="12"/>
      <c r="F87" s="40"/>
      <c r="G87" s="12"/>
      <c r="H87" s="12"/>
      <c r="I87" s="12"/>
      <c r="J87" s="12"/>
      <c r="K87" s="12"/>
      <c r="L87" s="12"/>
      <c r="M87" s="33"/>
      <c r="N87" s="33"/>
    </row>
    <row r="88" spans="1:14" x14ac:dyDescent="0.3">
      <c r="A88" s="33"/>
      <c r="B88" s="11"/>
      <c r="C88" s="11"/>
      <c r="D88" s="11"/>
      <c r="E88" s="12"/>
      <c r="F88" s="40"/>
      <c r="G88" s="12"/>
      <c r="H88" s="12"/>
      <c r="I88" s="12"/>
      <c r="J88" s="12"/>
      <c r="K88" s="12"/>
      <c r="L88" s="12"/>
      <c r="M88" s="33"/>
      <c r="N88" s="33"/>
    </row>
    <row r="89" spans="1:14" x14ac:dyDescent="0.3">
      <c r="A89" s="33"/>
      <c r="B89" s="11"/>
      <c r="C89" s="11"/>
      <c r="D89" s="11"/>
      <c r="E89" s="12"/>
      <c r="F89" s="40"/>
      <c r="G89" s="12"/>
      <c r="H89" s="12"/>
      <c r="I89" s="12"/>
      <c r="J89" s="12"/>
      <c r="K89" s="12"/>
      <c r="L89" s="12"/>
      <c r="M89" s="33"/>
      <c r="N89" s="33"/>
    </row>
    <row r="90" spans="1:14" x14ac:dyDescent="0.3">
      <c r="A90" s="33"/>
      <c r="B90" s="11"/>
      <c r="C90" s="11"/>
      <c r="D90" s="11"/>
      <c r="E90" s="12"/>
      <c r="F90" s="40"/>
      <c r="G90" s="12"/>
      <c r="H90" s="12"/>
      <c r="I90" s="12"/>
      <c r="J90" s="12"/>
      <c r="K90" s="12"/>
      <c r="L90" s="12"/>
      <c r="M90" s="33"/>
      <c r="N90" s="33"/>
    </row>
    <row r="91" spans="1:14" x14ac:dyDescent="0.3">
      <c r="A91" s="33"/>
      <c r="E91" s="33"/>
      <c r="G91" s="33"/>
      <c r="I91" s="33"/>
      <c r="K91" s="33"/>
      <c r="M91" s="33"/>
      <c r="N91" s="33"/>
    </row>
    <row r="92" spans="1:14" x14ac:dyDescent="0.3">
      <c r="A92" s="33"/>
      <c r="E92" s="33"/>
      <c r="G92" s="33"/>
      <c r="I92" s="33"/>
      <c r="K92" s="33"/>
      <c r="M92" s="33"/>
      <c r="N92" s="33"/>
    </row>
  </sheetData>
  <sheetProtection algorithmName="SHA-512" hashValue="Fp372xcUlYQgHQVbrmOnJxcLFETal/WlSvNps3Nln4bJMlKWoJZPA7LvoSjSX9udGvLL6s0ifW8Z3yqL2YDykg==" saltValue="HW+ZnHv8dFI3R/Yw658WtQ==" spinCount="100000" sheet="1" objects="1" scenarios="1" selectLockedCells="1"/>
  <mergeCells count="96">
    <mergeCell ref="I27:J27"/>
    <mergeCell ref="I28:J28"/>
    <mergeCell ref="K27:L27"/>
    <mergeCell ref="K28:L28"/>
    <mergeCell ref="G6:H6"/>
    <mergeCell ref="I6:J6"/>
    <mergeCell ref="I26:J26"/>
    <mergeCell ref="K7:L9"/>
    <mergeCell ref="K10:L12"/>
    <mergeCell ref="K19:L19"/>
    <mergeCell ref="K26:L26"/>
    <mergeCell ref="G10:H12"/>
    <mergeCell ref="I7:J9"/>
    <mergeCell ref="I10:J12"/>
    <mergeCell ref="I19:J19"/>
    <mergeCell ref="G13:G14"/>
    <mergeCell ref="E27:F27"/>
    <mergeCell ref="E28:F28"/>
    <mergeCell ref="G27:H27"/>
    <mergeCell ref="G28:H28"/>
    <mergeCell ref="H22:H23"/>
    <mergeCell ref="L1:M1"/>
    <mergeCell ref="G26:H26"/>
    <mergeCell ref="G19:H19"/>
    <mergeCell ref="H20:H21"/>
    <mergeCell ref="F15:F16"/>
    <mergeCell ref="K6:L6"/>
    <mergeCell ref="K13:K14"/>
    <mergeCell ref="I22:I23"/>
    <mergeCell ref="I20:I21"/>
    <mergeCell ref="L22:L23"/>
    <mergeCell ref="L15:L16"/>
    <mergeCell ref="L17:L18"/>
    <mergeCell ref="L13:L14"/>
    <mergeCell ref="J22:J23"/>
    <mergeCell ref="I13:I14"/>
    <mergeCell ref="J13:J14"/>
    <mergeCell ref="H13:H14"/>
    <mergeCell ref="G7:H9"/>
    <mergeCell ref="E6:F6"/>
    <mergeCell ref="C7:D9"/>
    <mergeCell ref="C10:D12"/>
    <mergeCell ref="E7:F9"/>
    <mergeCell ref="E10:F12"/>
    <mergeCell ref="B31:E31"/>
    <mergeCell ref="B27:B28"/>
    <mergeCell ref="E22:E23"/>
    <mergeCell ref="F22:F23"/>
    <mergeCell ref="G22:G23"/>
    <mergeCell ref="D22:D23"/>
    <mergeCell ref="D24:D25"/>
    <mergeCell ref="C20:C26"/>
    <mergeCell ref="B13:B26"/>
    <mergeCell ref="E13:E14"/>
    <mergeCell ref="F13:F14"/>
    <mergeCell ref="E15:E16"/>
    <mergeCell ref="E17:E18"/>
    <mergeCell ref="D15:D16"/>
    <mergeCell ref="D17:D18"/>
    <mergeCell ref="D20:D21"/>
    <mergeCell ref="K15:K16"/>
    <mergeCell ref="H17:H18"/>
    <mergeCell ref="I17:I18"/>
    <mergeCell ref="J17:J18"/>
    <mergeCell ref="K17:K18"/>
    <mergeCell ref="L20:L21"/>
    <mergeCell ref="K20:K21"/>
    <mergeCell ref="J20:J21"/>
    <mergeCell ref="E24:E25"/>
    <mergeCell ref="F24:F25"/>
    <mergeCell ref="G24:G25"/>
    <mergeCell ref="H24:H25"/>
    <mergeCell ref="I24:I25"/>
    <mergeCell ref="J24:J25"/>
    <mergeCell ref="K24:K25"/>
    <mergeCell ref="L24:L25"/>
    <mergeCell ref="G20:G21"/>
    <mergeCell ref="K22:K23"/>
    <mergeCell ref="E20:E21"/>
    <mergeCell ref="F20:F21"/>
    <mergeCell ref="F3:J4"/>
    <mergeCell ref="B3:B4"/>
    <mergeCell ref="C27:D27"/>
    <mergeCell ref="C28:D28"/>
    <mergeCell ref="E19:F19"/>
    <mergeCell ref="C13:C19"/>
    <mergeCell ref="G15:G16"/>
    <mergeCell ref="F17:F18"/>
    <mergeCell ref="G17:G18"/>
    <mergeCell ref="H15:H16"/>
    <mergeCell ref="I15:I16"/>
    <mergeCell ref="J15:J16"/>
    <mergeCell ref="E26:F26"/>
    <mergeCell ref="D13:D14"/>
    <mergeCell ref="B6:D6"/>
    <mergeCell ref="B7:B12"/>
  </mergeCells>
  <conditionalFormatting sqref="F3:J4">
    <cfRule type="expression" dxfId="0" priority="1">
      <formula>OR(PaedChoice=2,PaedChoice=11)</formula>
    </cfRule>
  </conditionalFormatting>
  <hyperlinks>
    <hyperlink ref="L1:M1" location="'Front Page'!A1" display="Return to Contents" xr:uid="{00000000-0004-0000-0F00-000000000000}"/>
  </hyperlink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21" r:id="rId4" name="Drop Down 5">
              <controlPr defaultSize="0" autoLine="0" autoPict="0">
                <anchor moveWithCells="1">
                  <from>
                    <xdr:col>9</xdr:col>
                    <xdr:colOff>106680</xdr:colOff>
                    <xdr:row>29</xdr:row>
                    <xdr:rowOff>68580</xdr:rowOff>
                  </from>
                  <to>
                    <xdr:col>11</xdr:col>
                    <xdr:colOff>403860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5" name="Drop Down 6">
              <controlPr defaultSize="0" autoLine="0" autoPict="0">
                <anchor moveWithCells="1">
                  <from>
                    <xdr:col>2</xdr:col>
                    <xdr:colOff>106680</xdr:colOff>
                    <xdr:row>2</xdr:row>
                    <xdr:rowOff>22860</xdr:rowOff>
                  </from>
                  <to>
                    <xdr:col>4</xdr:col>
                    <xdr:colOff>502920</xdr:colOff>
                    <xdr:row>3</xdr:row>
                    <xdr:rowOff>182880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tabColor rgb="FFFF0000"/>
  </sheetPr>
  <dimension ref="A1:V202"/>
  <sheetViews>
    <sheetView topLeftCell="A49" zoomScale="70" zoomScaleNormal="70" workbookViewId="0">
      <selection activeCell="B98" sqref="B98"/>
    </sheetView>
  </sheetViews>
  <sheetFormatPr defaultColWidth="13.33203125" defaultRowHeight="14.4" x14ac:dyDescent="0.3"/>
  <cols>
    <col min="1" max="1" width="11" style="2" customWidth="1"/>
    <col min="2" max="2" width="60.44140625" style="2" customWidth="1"/>
    <col min="3" max="3" width="17.5546875" style="2" customWidth="1"/>
    <col min="4" max="4" width="13.33203125" style="2"/>
    <col min="5" max="5" width="30.109375" style="2" customWidth="1"/>
    <col min="6" max="16384" width="13.33203125" style="2"/>
  </cols>
  <sheetData>
    <row r="1" spans="1:22" s="7" customFormat="1" ht="21" x14ac:dyDescent="0.3">
      <c r="A1" s="7" t="s">
        <v>8</v>
      </c>
    </row>
    <row r="2" spans="1:22" s="36" customFormat="1" ht="21" x14ac:dyDescent="0.3">
      <c r="A2" s="53" t="s">
        <v>63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</row>
    <row r="3" spans="1:22" x14ac:dyDescent="0.3"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  <c r="P3" s="2">
        <v>16</v>
      </c>
      <c r="Q3" s="2">
        <v>17</v>
      </c>
      <c r="R3" s="2">
        <v>18</v>
      </c>
      <c r="S3" s="2">
        <v>19</v>
      </c>
      <c r="T3" s="2">
        <v>20</v>
      </c>
      <c r="U3" s="2">
        <v>21</v>
      </c>
      <c r="V3" s="2">
        <v>22</v>
      </c>
    </row>
    <row r="4" spans="1:22" s="1" customFormat="1" x14ac:dyDescent="0.3">
      <c r="A4" s="24"/>
      <c r="B4" s="98"/>
      <c r="C4" s="413" t="s">
        <v>110</v>
      </c>
      <c r="D4" s="413" t="s">
        <v>111</v>
      </c>
      <c r="E4" s="413" t="s">
        <v>0</v>
      </c>
      <c r="F4" s="413" t="s">
        <v>112</v>
      </c>
      <c r="G4" s="413" t="s">
        <v>42</v>
      </c>
      <c r="H4" s="413"/>
      <c r="I4" s="413" t="s">
        <v>43</v>
      </c>
      <c r="J4" s="413"/>
      <c r="K4" s="413"/>
      <c r="L4" s="413"/>
      <c r="M4" s="413"/>
      <c r="N4" s="413"/>
      <c r="O4" s="413"/>
      <c r="P4" s="413"/>
      <c r="Q4" s="413"/>
      <c r="R4" s="413"/>
      <c r="S4" s="413"/>
      <c r="T4" s="413"/>
      <c r="U4" s="413" t="s">
        <v>41</v>
      </c>
      <c r="V4" s="413"/>
    </row>
    <row r="5" spans="1:22" s="1" customFormat="1" x14ac:dyDescent="0.3">
      <c r="A5" s="24"/>
      <c r="B5" s="98"/>
      <c r="C5" s="413"/>
      <c r="D5" s="413"/>
      <c r="E5" s="413"/>
      <c r="F5" s="413"/>
      <c r="G5" s="413" t="s">
        <v>1</v>
      </c>
      <c r="H5" s="413" t="s">
        <v>2</v>
      </c>
      <c r="I5" s="413" t="s">
        <v>1</v>
      </c>
      <c r="J5" s="413"/>
      <c r="K5" s="413"/>
      <c r="L5" s="413"/>
      <c r="M5" s="413"/>
      <c r="N5" s="413"/>
      <c r="O5" s="413" t="s">
        <v>40</v>
      </c>
      <c r="P5" s="413"/>
      <c r="Q5" s="413"/>
      <c r="R5" s="413"/>
      <c r="S5" s="413"/>
      <c r="T5" s="413"/>
      <c r="U5" s="413" t="s">
        <v>1</v>
      </c>
      <c r="V5" s="413" t="s">
        <v>40</v>
      </c>
    </row>
    <row r="6" spans="1:22" s="24" customFormat="1" ht="28.8" x14ac:dyDescent="0.3">
      <c r="B6" s="98"/>
      <c r="C6" s="413"/>
      <c r="D6" s="413"/>
      <c r="E6" s="413"/>
      <c r="F6" s="413"/>
      <c r="G6" s="413"/>
      <c r="H6" s="413"/>
      <c r="I6" s="98" t="s">
        <v>113</v>
      </c>
      <c r="J6" s="24" t="s">
        <v>37</v>
      </c>
      <c r="K6" s="24" t="s">
        <v>38</v>
      </c>
      <c r="L6" s="37" t="s">
        <v>39</v>
      </c>
      <c r="M6" s="24" t="s">
        <v>114</v>
      </c>
      <c r="N6" s="98" t="s">
        <v>115</v>
      </c>
      <c r="O6" s="98" t="s">
        <v>113</v>
      </c>
      <c r="P6" s="24" t="s">
        <v>37</v>
      </c>
      <c r="Q6" s="24" t="s">
        <v>38</v>
      </c>
      <c r="R6" s="37" t="s">
        <v>39</v>
      </c>
      <c r="S6" s="24" t="s">
        <v>114</v>
      </c>
      <c r="T6" s="98" t="s">
        <v>116</v>
      </c>
      <c r="U6" s="413"/>
      <c r="V6" s="413"/>
    </row>
    <row r="7" spans="1:22" s="35" customFormat="1" x14ac:dyDescent="0.3">
      <c r="A7" s="35">
        <v>1</v>
      </c>
      <c r="B7" s="151" t="str">
        <f t="shared" ref="B7:B23" si="0">VLOOKUP(A7,AdultSites,2)</f>
        <v>Aneurin Bevan UHB, Nevill Hall &amp; Royal Gwent Hospitals</v>
      </c>
      <c r="C7" s="270" t="s">
        <v>198</v>
      </c>
      <c r="D7" s="270">
        <v>2022</v>
      </c>
      <c r="E7" s="51" t="s">
        <v>157</v>
      </c>
      <c r="F7" s="38" t="s">
        <v>11</v>
      </c>
      <c r="G7" s="270">
        <v>0</v>
      </c>
      <c r="H7" s="270">
        <v>0</v>
      </c>
      <c r="I7" s="270">
        <v>0</v>
      </c>
      <c r="J7" s="270">
        <v>0</v>
      </c>
      <c r="K7" s="270">
        <v>0</v>
      </c>
      <c r="L7" s="194">
        <v>0</v>
      </c>
      <c r="M7" s="224">
        <v>0</v>
      </c>
      <c r="N7" s="224">
        <v>0</v>
      </c>
      <c r="O7" s="224">
        <v>16</v>
      </c>
      <c r="P7" s="270">
        <v>28</v>
      </c>
      <c r="Q7" s="270">
        <v>53</v>
      </c>
      <c r="R7" s="194">
        <v>116</v>
      </c>
      <c r="S7" s="224">
        <v>213</v>
      </c>
      <c r="T7" s="224">
        <v>197</v>
      </c>
      <c r="U7" s="190">
        <v>0</v>
      </c>
      <c r="V7" s="190">
        <v>0</v>
      </c>
    </row>
    <row r="8" spans="1:22" s="35" customFormat="1" x14ac:dyDescent="0.3">
      <c r="A8" s="35">
        <v>2</v>
      </c>
      <c r="B8" s="151" t="str">
        <f t="shared" si="0"/>
        <v>Cardiff &amp; Vale UHB, Noah’s Ark / University Hospital Wales</v>
      </c>
      <c r="C8" s="270"/>
      <c r="D8" s="270"/>
      <c r="E8" s="51"/>
      <c r="F8" s="38"/>
      <c r="G8" s="270" t="s">
        <v>155</v>
      </c>
      <c r="H8" s="270" t="s">
        <v>155</v>
      </c>
      <c r="I8" s="270" t="s">
        <v>155</v>
      </c>
      <c r="J8" s="270" t="s">
        <v>155</v>
      </c>
      <c r="K8" s="270" t="s">
        <v>155</v>
      </c>
      <c r="L8" s="194" t="s">
        <v>155</v>
      </c>
      <c r="M8" s="224" t="s">
        <v>155</v>
      </c>
      <c r="N8" s="224" t="s">
        <v>155</v>
      </c>
      <c r="O8" s="224" t="s">
        <v>155</v>
      </c>
      <c r="P8" s="270" t="s">
        <v>155</v>
      </c>
      <c r="Q8" s="270" t="s">
        <v>155</v>
      </c>
      <c r="R8" s="194" t="s">
        <v>155</v>
      </c>
      <c r="S8" s="224" t="s">
        <v>155</v>
      </c>
      <c r="T8" s="224" t="s">
        <v>155</v>
      </c>
      <c r="U8" s="190" t="s">
        <v>155</v>
      </c>
      <c r="V8" s="190" t="s">
        <v>155</v>
      </c>
    </row>
    <row r="9" spans="1:22" s="35" customFormat="1" x14ac:dyDescent="0.3">
      <c r="A9" s="35">
        <v>3</v>
      </c>
      <c r="B9" s="151" t="str">
        <f t="shared" si="0"/>
        <v>Cwm Taf Morgannwg UHB, Princess of Wales Hospital</v>
      </c>
      <c r="C9" s="270" t="s">
        <v>198</v>
      </c>
      <c r="D9" s="270">
        <v>2022</v>
      </c>
      <c r="E9" s="51" t="s">
        <v>159</v>
      </c>
      <c r="F9" s="38" t="s">
        <v>11</v>
      </c>
      <c r="G9" s="270">
        <v>0</v>
      </c>
      <c r="H9" s="270">
        <v>0</v>
      </c>
      <c r="I9" s="270">
        <v>0</v>
      </c>
      <c r="J9" s="270">
        <v>0</v>
      </c>
      <c r="K9" s="270">
        <v>0</v>
      </c>
      <c r="L9" s="194">
        <v>0</v>
      </c>
      <c r="M9" s="224">
        <v>0</v>
      </c>
      <c r="N9" s="224">
        <v>0</v>
      </c>
      <c r="O9" s="224">
        <v>38</v>
      </c>
      <c r="P9" s="270">
        <v>41</v>
      </c>
      <c r="Q9" s="270">
        <v>93</v>
      </c>
      <c r="R9" s="194">
        <v>167</v>
      </c>
      <c r="S9" s="224">
        <v>339</v>
      </c>
      <c r="T9" s="224">
        <v>301</v>
      </c>
      <c r="U9" s="190">
        <v>0</v>
      </c>
      <c r="V9" s="190">
        <v>0</v>
      </c>
    </row>
    <row r="10" spans="1:22" s="35" customFormat="1" x14ac:dyDescent="0.3">
      <c r="A10" s="35">
        <v>4</v>
      </c>
      <c r="B10" s="151" t="str">
        <f t="shared" si="0"/>
        <v xml:space="preserve">Cwm Taf Morgannwg UHB, Royal Glamorgan Hospital </v>
      </c>
      <c r="C10" s="270" t="s">
        <v>198</v>
      </c>
      <c r="D10" s="270">
        <v>2022</v>
      </c>
      <c r="E10" s="51" t="s">
        <v>160</v>
      </c>
      <c r="F10" s="38" t="s">
        <v>11</v>
      </c>
      <c r="G10" s="270">
        <v>0</v>
      </c>
      <c r="H10" s="270">
        <v>0</v>
      </c>
      <c r="I10" s="270">
        <v>0</v>
      </c>
      <c r="J10" s="270">
        <v>0</v>
      </c>
      <c r="K10" s="270">
        <v>0</v>
      </c>
      <c r="L10" s="194">
        <v>0</v>
      </c>
      <c r="M10" s="224">
        <v>0</v>
      </c>
      <c r="N10" s="224">
        <v>0</v>
      </c>
      <c r="O10" s="224">
        <v>0</v>
      </c>
      <c r="P10" s="270">
        <v>0</v>
      </c>
      <c r="Q10" s="270">
        <v>0</v>
      </c>
      <c r="R10" s="194">
        <v>0</v>
      </c>
      <c r="S10" s="224">
        <v>0</v>
      </c>
      <c r="T10" s="224">
        <v>0</v>
      </c>
      <c r="U10" s="190">
        <v>0</v>
      </c>
      <c r="V10" s="190">
        <v>0</v>
      </c>
    </row>
    <row r="11" spans="1:22" s="35" customFormat="1" x14ac:dyDescent="0.3">
      <c r="A11" s="35">
        <v>5</v>
      </c>
      <c r="B11" s="151" t="str">
        <f t="shared" si="0"/>
        <v>Cwm Taf Morgannwg UHB, Prince Charles Hospital</v>
      </c>
      <c r="C11" s="270" t="s">
        <v>198</v>
      </c>
      <c r="D11" s="270">
        <v>2022</v>
      </c>
      <c r="E11" s="51" t="s">
        <v>161</v>
      </c>
      <c r="F11" s="38" t="s">
        <v>11</v>
      </c>
      <c r="G11" s="270">
        <v>0</v>
      </c>
      <c r="H11" s="270">
        <v>0</v>
      </c>
      <c r="I11" s="270">
        <v>0</v>
      </c>
      <c r="J11" s="270">
        <v>0</v>
      </c>
      <c r="K11" s="270">
        <v>0</v>
      </c>
      <c r="L11" s="194">
        <v>0</v>
      </c>
      <c r="M11" s="224">
        <v>0</v>
      </c>
      <c r="N11" s="224">
        <v>0</v>
      </c>
      <c r="O11" s="224">
        <v>0</v>
      </c>
      <c r="P11" s="270">
        <v>0</v>
      </c>
      <c r="Q11" s="270">
        <v>0</v>
      </c>
      <c r="R11" s="194">
        <v>0</v>
      </c>
      <c r="S11" s="224">
        <v>0</v>
      </c>
      <c r="T11" s="224">
        <v>0</v>
      </c>
      <c r="U11" s="190">
        <v>0</v>
      </c>
      <c r="V11" s="190">
        <v>0</v>
      </c>
    </row>
    <row r="12" spans="1:22" s="35" customFormat="1" x14ac:dyDescent="0.3">
      <c r="A12" s="35">
        <v>6</v>
      </c>
      <c r="B12" s="151" t="str">
        <f t="shared" si="0"/>
        <v>Hywel Dda UHB, Glangwilli Hospital</v>
      </c>
      <c r="C12" s="270" t="s">
        <v>198</v>
      </c>
      <c r="D12" s="270">
        <v>2022</v>
      </c>
      <c r="E12" s="51" t="s">
        <v>165</v>
      </c>
      <c r="F12" s="38" t="s">
        <v>11</v>
      </c>
      <c r="G12" s="270">
        <v>0</v>
      </c>
      <c r="H12" s="270">
        <v>13</v>
      </c>
      <c r="I12" s="270">
        <v>0</v>
      </c>
      <c r="J12" s="270">
        <v>0</v>
      </c>
      <c r="K12" s="270">
        <v>0</v>
      </c>
      <c r="L12" s="194">
        <v>0</v>
      </c>
      <c r="M12" s="224">
        <v>0</v>
      </c>
      <c r="N12" s="224">
        <v>0</v>
      </c>
      <c r="O12" s="224">
        <v>19</v>
      </c>
      <c r="P12" s="270">
        <v>30</v>
      </c>
      <c r="Q12" s="270">
        <v>53</v>
      </c>
      <c r="R12" s="194">
        <v>53</v>
      </c>
      <c r="S12" s="224">
        <v>155</v>
      </c>
      <c r="T12" s="224">
        <v>136</v>
      </c>
      <c r="U12" s="190">
        <v>0</v>
      </c>
      <c r="V12" s="190">
        <v>7.4999999999999997E-2</v>
      </c>
    </row>
    <row r="13" spans="1:22" s="35" customFormat="1" x14ac:dyDescent="0.3">
      <c r="A13" s="35">
        <v>7</v>
      </c>
      <c r="B13" s="151" t="str">
        <f t="shared" si="0"/>
        <v>Hywel Dda UHB, Withybush Hospital</v>
      </c>
      <c r="C13" s="270" t="s">
        <v>198</v>
      </c>
      <c r="D13" s="270">
        <v>2022</v>
      </c>
      <c r="E13" s="51" t="s">
        <v>166</v>
      </c>
      <c r="F13" s="38" t="s">
        <v>11</v>
      </c>
      <c r="G13" s="270">
        <v>0</v>
      </c>
      <c r="H13" s="270">
        <v>0</v>
      </c>
      <c r="I13" s="270">
        <v>0</v>
      </c>
      <c r="J13" s="270">
        <v>0</v>
      </c>
      <c r="K13" s="270">
        <v>0</v>
      </c>
      <c r="L13" s="194">
        <v>0</v>
      </c>
      <c r="M13" s="224">
        <v>0</v>
      </c>
      <c r="N13" s="224">
        <v>0</v>
      </c>
      <c r="O13" s="224">
        <v>4</v>
      </c>
      <c r="P13" s="270">
        <v>0</v>
      </c>
      <c r="Q13" s="270">
        <v>3</v>
      </c>
      <c r="R13" s="194">
        <v>1</v>
      </c>
      <c r="S13" s="224">
        <v>8</v>
      </c>
      <c r="T13" s="224">
        <v>4</v>
      </c>
      <c r="U13" s="190">
        <v>0</v>
      </c>
      <c r="V13" s="190">
        <v>0</v>
      </c>
    </row>
    <row r="14" spans="1:22" s="35" customFormat="1" x14ac:dyDescent="0.3">
      <c r="A14" s="35">
        <v>8</v>
      </c>
      <c r="B14" s="151" t="str">
        <f t="shared" si="0"/>
        <v>Swansea Bay UHB, Morriston / Singleton Hospitals</v>
      </c>
      <c r="C14" s="270" t="s">
        <v>198</v>
      </c>
      <c r="D14" s="270">
        <v>2022</v>
      </c>
      <c r="E14" s="51" t="s">
        <v>162</v>
      </c>
      <c r="F14" s="38" t="s">
        <v>11</v>
      </c>
      <c r="G14" s="270">
        <v>93</v>
      </c>
      <c r="H14" s="270">
        <v>0</v>
      </c>
      <c r="I14" s="270">
        <v>20</v>
      </c>
      <c r="J14" s="270">
        <v>33</v>
      </c>
      <c r="K14" s="270">
        <v>31</v>
      </c>
      <c r="L14" s="194">
        <v>61</v>
      </c>
      <c r="M14" s="224">
        <v>145</v>
      </c>
      <c r="N14" s="224">
        <v>125</v>
      </c>
      <c r="O14" s="224">
        <v>0</v>
      </c>
      <c r="P14" s="270">
        <v>0</v>
      </c>
      <c r="Q14" s="270">
        <v>0</v>
      </c>
      <c r="R14" s="194">
        <v>0</v>
      </c>
      <c r="S14" s="224">
        <v>0</v>
      </c>
      <c r="T14" s="224">
        <v>0</v>
      </c>
      <c r="U14" s="190">
        <v>0</v>
      </c>
      <c r="V14" s="190">
        <v>0</v>
      </c>
    </row>
    <row r="15" spans="1:22" s="35" customFormat="1" x14ac:dyDescent="0.3">
      <c r="A15" s="35">
        <v>9</v>
      </c>
      <c r="B15" s="151" t="str">
        <f t="shared" si="0"/>
        <v xml:space="preserve">Barnstaple, North Devon District Hospital </v>
      </c>
      <c r="C15" s="270" t="s">
        <v>198</v>
      </c>
      <c r="D15" s="270">
        <v>2022</v>
      </c>
      <c r="E15" s="51" t="s">
        <v>58</v>
      </c>
      <c r="F15" s="38" t="s">
        <v>11</v>
      </c>
      <c r="G15" s="270">
        <v>27</v>
      </c>
      <c r="H15" s="270">
        <v>27</v>
      </c>
      <c r="I15" s="270">
        <v>18</v>
      </c>
      <c r="J15" s="270">
        <v>23</v>
      </c>
      <c r="K15" s="270">
        <v>24</v>
      </c>
      <c r="L15" s="194">
        <v>14</v>
      </c>
      <c r="M15" s="224">
        <v>79</v>
      </c>
      <c r="N15" s="224">
        <v>61</v>
      </c>
      <c r="O15" s="224">
        <v>18</v>
      </c>
      <c r="P15" s="270">
        <v>23</v>
      </c>
      <c r="Q15" s="270">
        <v>24</v>
      </c>
      <c r="R15" s="194">
        <v>14</v>
      </c>
      <c r="S15" s="224">
        <v>79</v>
      </c>
      <c r="T15" s="224">
        <v>61</v>
      </c>
      <c r="U15" s="190">
        <v>0.14000000000000001</v>
      </c>
      <c r="V15" s="190">
        <v>0.14000000000000001</v>
      </c>
    </row>
    <row r="16" spans="1:22" s="35" customFormat="1" x14ac:dyDescent="0.3">
      <c r="A16" s="35">
        <v>10</v>
      </c>
      <c r="B16" s="151" t="str">
        <f t="shared" si="0"/>
        <v>Bristol, Bristol Heart Institute / Bristol Royal Hospital for Children</v>
      </c>
      <c r="C16" s="270" t="s">
        <v>198</v>
      </c>
      <c r="D16" s="270">
        <v>2022</v>
      </c>
      <c r="E16" s="51" t="s">
        <v>199</v>
      </c>
      <c r="F16" s="38" t="s">
        <v>11</v>
      </c>
      <c r="G16" s="270">
        <v>22</v>
      </c>
      <c r="H16" s="270" t="s">
        <v>200</v>
      </c>
      <c r="I16" s="270">
        <v>654</v>
      </c>
      <c r="J16" s="270">
        <v>446</v>
      </c>
      <c r="K16" s="270">
        <v>284</v>
      </c>
      <c r="L16" s="194">
        <v>90</v>
      </c>
      <c r="M16" s="224">
        <v>1474</v>
      </c>
      <c r="N16" s="224">
        <v>820</v>
      </c>
      <c r="O16" s="224" t="s">
        <v>200</v>
      </c>
      <c r="P16" s="270" t="s">
        <v>200</v>
      </c>
      <c r="Q16" s="270" t="s">
        <v>200</v>
      </c>
      <c r="R16" s="194" t="s">
        <v>200</v>
      </c>
      <c r="S16" s="224">
        <v>0</v>
      </c>
      <c r="T16" s="224">
        <v>0</v>
      </c>
      <c r="U16" s="190">
        <v>0.08</v>
      </c>
      <c r="V16" s="190">
        <v>0</v>
      </c>
    </row>
    <row r="17" spans="1:22" s="35" customFormat="1" x14ac:dyDescent="0.3">
      <c r="A17" s="35">
        <v>11</v>
      </c>
      <c r="B17" s="151" t="str">
        <f t="shared" si="0"/>
        <v xml:space="preserve">Exeter, Royal Devon and Exeter Hospital </v>
      </c>
      <c r="C17" s="270"/>
      <c r="D17" s="270"/>
      <c r="E17" s="51"/>
      <c r="F17" s="38"/>
      <c r="G17" s="270" t="s">
        <v>155</v>
      </c>
      <c r="H17" s="270" t="s">
        <v>155</v>
      </c>
      <c r="I17" s="270" t="s">
        <v>155</v>
      </c>
      <c r="J17" s="270" t="s">
        <v>155</v>
      </c>
      <c r="K17" s="270" t="s">
        <v>155</v>
      </c>
      <c r="L17" s="194" t="s">
        <v>155</v>
      </c>
      <c r="M17" s="224" t="s">
        <v>155</v>
      </c>
      <c r="N17" s="224" t="s">
        <v>155</v>
      </c>
      <c r="O17" s="224" t="s">
        <v>155</v>
      </c>
      <c r="P17" s="270" t="s">
        <v>155</v>
      </c>
      <c r="Q17" s="270" t="s">
        <v>155</v>
      </c>
      <c r="R17" s="194" t="s">
        <v>155</v>
      </c>
      <c r="S17" s="224" t="s">
        <v>155</v>
      </c>
      <c r="T17" s="224" t="s">
        <v>155</v>
      </c>
      <c r="U17" s="190" t="s">
        <v>155</v>
      </c>
      <c r="V17" s="190" t="s">
        <v>155</v>
      </c>
    </row>
    <row r="18" spans="1:22" s="35" customFormat="1" x14ac:dyDescent="0.3">
      <c r="A18" s="35">
        <v>12</v>
      </c>
      <c r="B18" s="151" t="str">
        <f t="shared" si="0"/>
        <v>Gloucester, Gloucestershire Hospitals</v>
      </c>
      <c r="C18" s="270" t="s">
        <v>198</v>
      </c>
      <c r="D18" s="270">
        <v>2022</v>
      </c>
      <c r="E18" s="51" t="s">
        <v>56</v>
      </c>
      <c r="F18" s="38" t="s">
        <v>11</v>
      </c>
      <c r="G18" s="270">
        <v>13</v>
      </c>
      <c r="H18" s="270">
        <v>13</v>
      </c>
      <c r="I18" s="270">
        <v>15</v>
      </c>
      <c r="J18" s="270">
        <v>4</v>
      </c>
      <c r="K18" s="270">
        <v>31</v>
      </c>
      <c r="L18" s="194">
        <v>24</v>
      </c>
      <c r="M18" s="224">
        <v>74</v>
      </c>
      <c r="N18" s="224">
        <v>59</v>
      </c>
      <c r="O18" s="224">
        <v>15</v>
      </c>
      <c r="P18" s="270">
        <v>4</v>
      </c>
      <c r="Q18" s="270">
        <v>31</v>
      </c>
      <c r="R18" s="194">
        <v>24</v>
      </c>
      <c r="S18" s="224">
        <v>74</v>
      </c>
      <c r="T18" s="224">
        <v>59</v>
      </c>
      <c r="U18" s="190">
        <v>0.148148148148148</v>
      </c>
      <c r="V18" s="190">
        <v>0.148148148148148</v>
      </c>
    </row>
    <row r="19" spans="1:22" s="35" customFormat="1" x14ac:dyDescent="0.3">
      <c r="A19" s="35">
        <v>13</v>
      </c>
      <c r="B19" s="151" t="str">
        <f t="shared" si="0"/>
        <v xml:space="preserve">Plymouth, Derriford Hospital </v>
      </c>
      <c r="C19" s="270"/>
      <c r="D19" s="270"/>
      <c r="E19" s="51"/>
      <c r="F19" s="38"/>
      <c r="G19" s="270" t="s">
        <v>155</v>
      </c>
      <c r="H19" s="270" t="s">
        <v>155</v>
      </c>
      <c r="I19" s="270" t="s">
        <v>155</v>
      </c>
      <c r="J19" s="270" t="s">
        <v>155</v>
      </c>
      <c r="K19" s="270" t="s">
        <v>155</v>
      </c>
      <c r="L19" s="194" t="s">
        <v>155</v>
      </c>
      <c r="M19" s="224" t="s">
        <v>155</v>
      </c>
      <c r="N19" s="224" t="s">
        <v>155</v>
      </c>
      <c r="O19" s="224" t="s">
        <v>155</v>
      </c>
      <c r="P19" s="270" t="s">
        <v>155</v>
      </c>
      <c r="Q19" s="270" t="s">
        <v>155</v>
      </c>
      <c r="R19" s="194" t="s">
        <v>155</v>
      </c>
      <c r="S19" s="224" t="s">
        <v>155</v>
      </c>
      <c r="T19" s="224" t="s">
        <v>155</v>
      </c>
      <c r="U19" s="190" t="s">
        <v>155</v>
      </c>
      <c r="V19" s="190" t="s">
        <v>155</v>
      </c>
    </row>
    <row r="20" spans="1:22" s="35" customFormat="1" x14ac:dyDescent="0.3">
      <c r="A20" s="35">
        <v>14</v>
      </c>
      <c r="B20" s="151" t="str">
        <f t="shared" si="0"/>
        <v xml:space="preserve">Swindon, Great Weston Hospital </v>
      </c>
      <c r="C20" s="270"/>
      <c r="D20" s="270"/>
      <c r="E20" s="51"/>
      <c r="F20" s="38"/>
      <c r="G20" s="270" t="s">
        <v>155</v>
      </c>
      <c r="H20" s="270" t="s">
        <v>155</v>
      </c>
      <c r="I20" s="270" t="s">
        <v>155</v>
      </c>
      <c r="J20" s="270" t="s">
        <v>155</v>
      </c>
      <c r="K20" s="270" t="s">
        <v>155</v>
      </c>
      <c r="L20" s="194" t="s">
        <v>155</v>
      </c>
      <c r="M20" s="224" t="s">
        <v>155</v>
      </c>
      <c r="N20" s="224" t="s">
        <v>155</v>
      </c>
      <c r="O20" s="224" t="s">
        <v>155</v>
      </c>
      <c r="P20" s="270" t="s">
        <v>155</v>
      </c>
      <c r="Q20" s="270" t="s">
        <v>155</v>
      </c>
      <c r="R20" s="194" t="s">
        <v>155</v>
      </c>
      <c r="S20" s="224" t="s">
        <v>155</v>
      </c>
      <c r="T20" s="224" t="s">
        <v>155</v>
      </c>
      <c r="U20" s="190" t="s">
        <v>155</v>
      </c>
      <c r="V20" s="190" t="s">
        <v>155</v>
      </c>
    </row>
    <row r="21" spans="1:22" s="35" customFormat="1" x14ac:dyDescent="0.3">
      <c r="A21" s="35">
        <v>15</v>
      </c>
      <c r="B21" s="151" t="str">
        <f t="shared" si="0"/>
        <v xml:space="preserve">Taunton, Musgrove Park Hospital </v>
      </c>
      <c r="C21" s="270" t="s">
        <v>198</v>
      </c>
      <c r="D21" s="270">
        <v>2022</v>
      </c>
      <c r="E21" s="51" t="s">
        <v>57</v>
      </c>
      <c r="F21" s="38" t="s">
        <v>11</v>
      </c>
      <c r="G21" s="270">
        <v>4</v>
      </c>
      <c r="H21" s="270">
        <v>12</v>
      </c>
      <c r="I21" s="270">
        <v>1</v>
      </c>
      <c r="J21" s="270">
        <v>0</v>
      </c>
      <c r="K21" s="270">
        <v>0</v>
      </c>
      <c r="L21" s="194">
        <v>0</v>
      </c>
      <c r="M21" s="224">
        <v>1</v>
      </c>
      <c r="N21" s="224">
        <v>0</v>
      </c>
      <c r="O21" s="224">
        <v>15</v>
      </c>
      <c r="P21" s="270">
        <v>13</v>
      </c>
      <c r="Q21" s="270">
        <v>0</v>
      </c>
      <c r="R21" s="194">
        <v>0</v>
      </c>
      <c r="S21" s="224">
        <v>28</v>
      </c>
      <c r="T21" s="224">
        <v>13</v>
      </c>
      <c r="U21" s="190">
        <v>0.15</v>
      </c>
      <c r="V21" s="190">
        <v>0.2</v>
      </c>
    </row>
    <row r="22" spans="1:22" s="35" customFormat="1" x14ac:dyDescent="0.3">
      <c r="A22" s="35">
        <v>16</v>
      </c>
      <c r="B22" s="151" t="str">
        <f t="shared" si="0"/>
        <v xml:space="preserve">Torquay, Torbay General District Hospital </v>
      </c>
      <c r="C22" s="270" t="s">
        <v>198</v>
      </c>
      <c r="D22" s="270">
        <v>2022</v>
      </c>
      <c r="E22" s="51" t="s">
        <v>54</v>
      </c>
      <c r="F22" s="38" t="s">
        <v>11</v>
      </c>
      <c r="G22" s="272">
        <v>0</v>
      </c>
      <c r="H22" s="272">
        <v>0</v>
      </c>
      <c r="I22" s="272">
        <v>11</v>
      </c>
      <c r="J22" s="272">
        <v>3</v>
      </c>
      <c r="K22" s="272">
        <v>0</v>
      </c>
      <c r="L22" s="194">
        <v>0</v>
      </c>
      <c r="M22" s="224">
        <v>14</v>
      </c>
      <c r="N22" s="224">
        <v>3</v>
      </c>
      <c r="O22" s="224">
        <v>6</v>
      </c>
      <c r="P22" s="272">
        <v>6</v>
      </c>
      <c r="Q22" s="272">
        <v>7</v>
      </c>
      <c r="R22" s="194">
        <v>0</v>
      </c>
      <c r="S22" s="224">
        <v>19</v>
      </c>
      <c r="T22" s="224">
        <v>13</v>
      </c>
      <c r="U22" s="190">
        <v>2.5000000000000001E-3</v>
      </c>
      <c r="V22" s="190">
        <v>0</v>
      </c>
    </row>
    <row r="23" spans="1:22" s="47" customFormat="1" x14ac:dyDescent="0.3">
      <c r="A23" s="47">
        <v>17</v>
      </c>
      <c r="B23" s="154" t="str">
        <f t="shared" si="0"/>
        <v xml:space="preserve">Truro, Royal Cornwall Hospital </v>
      </c>
      <c r="C23" s="270"/>
      <c r="D23" s="270"/>
      <c r="E23" s="51"/>
      <c r="F23" s="38"/>
      <c r="G23" s="270" t="s">
        <v>155</v>
      </c>
      <c r="H23" s="270" t="s">
        <v>155</v>
      </c>
      <c r="I23" s="270" t="s">
        <v>155</v>
      </c>
      <c r="J23" s="270" t="s">
        <v>155</v>
      </c>
      <c r="K23" s="270" t="s">
        <v>155</v>
      </c>
      <c r="L23" s="194" t="s">
        <v>155</v>
      </c>
      <c r="M23" s="224" t="s">
        <v>155</v>
      </c>
      <c r="N23" s="224" t="s">
        <v>155</v>
      </c>
      <c r="O23" s="224" t="s">
        <v>155</v>
      </c>
      <c r="P23" s="270" t="s">
        <v>155</v>
      </c>
      <c r="Q23" s="270" t="s">
        <v>155</v>
      </c>
      <c r="R23" s="194" t="s">
        <v>155</v>
      </c>
      <c r="S23" s="224" t="s">
        <v>155</v>
      </c>
      <c r="T23" s="224" t="s">
        <v>155</v>
      </c>
      <c r="U23" s="190" t="s">
        <v>155</v>
      </c>
      <c r="V23" s="190" t="s">
        <v>155</v>
      </c>
    </row>
    <row r="24" spans="1:22" s="44" customFormat="1" x14ac:dyDescent="0.3">
      <c r="A24" s="98"/>
      <c r="B24" s="98"/>
      <c r="D24" s="98"/>
      <c r="E24" s="235">
        <f t="shared" ref="E24:V24" ca="1" si="1">OFFSET(E7,AdultChoice-1,0)</f>
        <v>0</v>
      </c>
      <c r="F24" s="236">
        <f t="shared" ca="1" si="1"/>
        <v>0</v>
      </c>
      <c r="G24" s="50" t="str">
        <f t="shared" ca="1" si="1"/>
        <v>No data</v>
      </c>
      <c r="H24" s="50" t="str">
        <f t="shared" ca="1" si="1"/>
        <v>No data</v>
      </c>
      <c r="I24" s="50" t="str">
        <f t="shared" ca="1" si="1"/>
        <v>No data</v>
      </c>
      <c r="J24" s="50" t="str">
        <f t="shared" ca="1" si="1"/>
        <v>No data</v>
      </c>
      <c r="K24" s="50" t="str">
        <f t="shared" ca="1" si="1"/>
        <v>No data</v>
      </c>
      <c r="L24" s="50" t="str">
        <f t="shared" ca="1" si="1"/>
        <v>No data</v>
      </c>
      <c r="M24" s="50" t="str">
        <f t="shared" ca="1" si="1"/>
        <v>No data</v>
      </c>
      <c r="N24" s="50" t="str">
        <f t="shared" ca="1" si="1"/>
        <v>No data</v>
      </c>
      <c r="O24" s="50" t="str">
        <f t="shared" ca="1" si="1"/>
        <v>No data</v>
      </c>
      <c r="P24" s="50" t="str">
        <f t="shared" ca="1" si="1"/>
        <v>No data</v>
      </c>
      <c r="Q24" s="50" t="str">
        <f t="shared" ca="1" si="1"/>
        <v>No data</v>
      </c>
      <c r="R24" s="50" t="str">
        <f t="shared" ca="1" si="1"/>
        <v>No data</v>
      </c>
      <c r="S24" s="50" t="str">
        <f t="shared" ca="1" si="1"/>
        <v>No data</v>
      </c>
      <c r="T24" s="50" t="str">
        <f t="shared" ca="1" si="1"/>
        <v>No data</v>
      </c>
      <c r="U24" s="112" t="str">
        <f t="shared" ca="1" si="1"/>
        <v>No data</v>
      </c>
      <c r="V24" s="112" t="str">
        <f t="shared" ca="1" si="1"/>
        <v>No data</v>
      </c>
    </row>
    <row r="25" spans="1:22" s="49" customFormat="1" x14ac:dyDescent="0.3">
      <c r="B25" s="97"/>
      <c r="D25" s="97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</row>
    <row r="26" spans="1:22" s="36" customFormat="1" ht="21" x14ac:dyDescent="0.3">
      <c r="A26" s="54" t="s">
        <v>64</v>
      </c>
      <c r="B26" s="54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</row>
    <row r="27" spans="1:22" s="49" customFormat="1" x14ac:dyDescent="0.3">
      <c r="A27" s="2"/>
      <c r="B27" s="2">
        <v>2</v>
      </c>
      <c r="C27" s="2">
        <v>3</v>
      </c>
      <c r="D27" s="2">
        <v>4</v>
      </c>
      <c r="E27" s="2">
        <v>5</v>
      </c>
      <c r="F27" s="2">
        <v>6</v>
      </c>
      <c r="G27" s="2">
        <v>7</v>
      </c>
      <c r="H27" s="2">
        <v>8</v>
      </c>
      <c r="I27" s="2">
        <v>9</v>
      </c>
      <c r="J27" s="2">
        <v>10</v>
      </c>
      <c r="K27" s="2">
        <v>11</v>
      </c>
      <c r="L27" s="2">
        <v>12</v>
      </c>
      <c r="M27" s="2">
        <v>13</v>
      </c>
      <c r="N27" s="2">
        <v>14</v>
      </c>
      <c r="O27" s="2">
        <v>15</v>
      </c>
      <c r="P27" s="2">
        <v>16</v>
      </c>
      <c r="Q27" s="2">
        <v>17</v>
      </c>
      <c r="R27" s="2">
        <v>18</v>
      </c>
      <c r="S27" s="2">
        <v>19</v>
      </c>
      <c r="T27" s="2">
        <v>20</v>
      </c>
      <c r="U27" s="2">
        <v>21</v>
      </c>
      <c r="V27" s="2">
        <v>22</v>
      </c>
    </row>
    <row r="28" spans="1:22" s="44" customFormat="1" x14ac:dyDescent="0.3">
      <c r="A28" s="98"/>
      <c r="B28" s="98"/>
      <c r="C28" s="413" t="s">
        <v>110</v>
      </c>
      <c r="D28" s="413" t="s">
        <v>111</v>
      </c>
      <c r="E28" s="413" t="s">
        <v>0</v>
      </c>
      <c r="F28" s="413" t="s">
        <v>112</v>
      </c>
      <c r="G28" s="413" t="s">
        <v>42</v>
      </c>
      <c r="H28" s="413"/>
      <c r="I28" s="413" t="s">
        <v>43</v>
      </c>
      <c r="J28" s="413"/>
      <c r="K28" s="413"/>
      <c r="L28" s="413"/>
      <c r="M28" s="413"/>
      <c r="N28" s="413"/>
      <c r="O28" s="413"/>
      <c r="P28" s="413"/>
      <c r="Q28" s="413"/>
      <c r="R28" s="413"/>
      <c r="S28" s="413"/>
      <c r="T28" s="413"/>
      <c r="U28" s="413" t="s">
        <v>41</v>
      </c>
      <c r="V28" s="413"/>
    </row>
    <row r="29" spans="1:22" s="44" customFormat="1" x14ac:dyDescent="0.3">
      <c r="A29" s="98"/>
      <c r="B29" s="98"/>
      <c r="C29" s="413"/>
      <c r="D29" s="413"/>
      <c r="E29" s="413"/>
      <c r="F29" s="413"/>
      <c r="G29" s="413" t="s">
        <v>1</v>
      </c>
      <c r="H29" s="413" t="s">
        <v>2</v>
      </c>
      <c r="I29" s="413" t="s">
        <v>1</v>
      </c>
      <c r="J29" s="413"/>
      <c r="K29" s="413"/>
      <c r="L29" s="413"/>
      <c r="M29" s="413"/>
      <c r="N29" s="413"/>
      <c r="O29" s="413" t="s">
        <v>40</v>
      </c>
      <c r="P29" s="413"/>
      <c r="Q29" s="413"/>
      <c r="R29" s="413"/>
      <c r="S29" s="413"/>
      <c r="T29" s="413"/>
      <c r="U29" s="413" t="s">
        <v>1</v>
      </c>
      <c r="V29" s="413" t="s">
        <v>40</v>
      </c>
    </row>
    <row r="30" spans="1:22" s="44" customFormat="1" ht="28.8" x14ac:dyDescent="0.3">
      <c r="A30" s="98"/>
      <c r="B30" s="98"/>
      <c r="C30" s="413"/>
      <c r="D30" s="413"/>
      <c r="E30" s="413"/>
      <c r="F30" s="413"/>
      <c r="G30" s="413"/>
      <c r="H30" s="413"/>
      <c r="I30" s="98" t="s">
        <v>113</v>
      </c>
      <c r="J30" s="98" t="s">
        <v>37</v>
      </c>
      <c r="K30" s="98" t="s">
        <v>38</v>
      </c>
      <c r="L30" s="37" t="s">
        <v>39</v>
      </c>
      <c r="M30" s="98" t="s">
        <v>114</v>
      </c>
      <c r="N30" s="98" t="s">
        <v>115</v>
      </c>
      <c r="O30" s="98" t="s">
        <v>113</v>
      </c>
      <c r="P30" s="98" t="s">
        <v>37</v>
      </c>
      <c r="Q30" s="98" t="s">
        <v>38</v>
      </c>
      <c r="R30" s="37" t="s">
        <v>39</v>
      </c>
      <c r="S30" s="98" t="s">
        <v>114</v>
      </c>
      <c r="T30" s="98" t="s">
        <v>116</v>
      </c>
      <c r="U30" s="413"/>
      <c r="V30" s="413"/>
    </row>
    <row r="31" spans="1:22" s="35" customFormat="1" x14ac:dyDescent="0.3">
      <c r="A31" s="98">
        <v>1</v>
      </c>
      <c r="B31" s="151" t="str">
        <f t="shared" ref="B31:B48" si="2">VLOOKUP(A31,PaedSites,2)</f>
        <v>Aneurin Bevan UHB, Nevill Hall &amp; Royal Gwent Hospitals</v>
      </c>
      <c r="C31" s="270" t="s">
        <v>198</v>
      </c>
      <c r="D31" s="270">
        <v>2022</v>
      </c>
      <c r="E31" s="51" t="s">
        <v>157</v>
      </c>
      <c r="F31" s="38" t="s">
        <v>12</v>
      </c>
      <c r="G31" s="270">
        <v>12</v>
      </c>
      <c r="H31" s="270">
        <v>13</v>
      </c>
      <c r="I31" s="270">
        <v>45</v>
      </c>
      <c r="J31" s="270">
        <v>42</v>
      </c>
      <c r="K31" s="270">
        <v>64</v>
      </c>
      <c r="L31" s="194">
        <v>38</v>
      </c>
      <c r="M31" s="224">
        <v>189</v>
      </c>
      <c r="N31" s="224">
        <v>144</v>
      </c>
      <c r="O31" s="224">
        <v>67</v>
      </c>
      <c r="P31" s="270">
        <v>97</v>
      </c>
      <c r="Q31" s="270">
        <v>150</v>
      </c>
      <c r="R31" s="194">
        <v>94</v>
      </c>
      <c r="S31" s="224">
        <v>408</v>
      </c>
      <c r="T31" s="224">
        <v>341</v>
      </c>
      <c r="U31" s="190">
        <v>9.0999999999999998E-2</v>
      </c>
      <c r="V31" s="190">
        <v>0.11899999999999999</v>
      </c>
    </row>
    <row r="32" spans="1:22" s="35" customFormat="1" x14ac:dyDescent="0.3">
      <c r="A32" s="98">
        <v>2</v>
      </c>
      <c r="B32" s="151" t="str">
        <f t="shared" si="2"/>
        <v>Cardiff &amp; Vale UHB, Noah’s Ark / University Hospital Wales</v>
      </c>
      <c r="C32" s="270" t="s">
        <v>198</v>
      </c>
      <c r="D32" s="270">
        <v>2022</v>
      </c>
      <c r="E32" s="51" t="s">
        <v>158</v>
      </c>
      <c r="F32" s="38" t="s">
        <v>12</v>
      </c>
      <c r="G32" s="270">
        <v>14</v>
      </c>
      <c r="H32" s="270">
        <v>0</v>
      </c>
      <c r="I32" s="270">
        <v>151</v>
      </c>
      <c r="J32" s="270">
        <v>159</v>
      </c>
      <c r="K32" s="270">
        <v>314</v>
      </c>
      <c r="L32" s="194">
        <v>156</v>
      </c>
      <c r="M32" s="224">
        <v>780</v>
      </c>
      <c r="N32" s="224">
        <v>629</v>
      </c>
      <c r="O32" s="224">
        <v>0</v>
      </c>
      <c r="P32" s="270">
        <v>0</v>
      </c>
      <c r="Q32" s="270">
        <v>0</v>
      </c>
      <c r="R32" s="194">
        <v>0</v>
      </c>
      <c r="S32" s="224">
        <v>0</v>
      </c>
      <c r="T32" s="224">
        <v>0</v>
      </c>
      <c r="U32" s="190">
        <v>0.10199999999999999</v>
      </c>
      <c r="V32" s="190">
        <v>0</v>
      </c>
    </row>
    <row r="33" spans="1:22" s="35" customFormat="1" x14ac:dyDescent="0.3">
      <c r="A33" s="98">
        <v>3</v>
      </c>
      <c r="B33" s="151" t="str">
        <f t="shared" si="2"/>
        <v>Cwm Taf Morgannwg UHB, Princess of Wales Hospital</v>
      </c>
      <c r="C33" s="270" t="s">
        <v>198</v>
      </c>
      <c r="D33" s="270">
        <v>2022</v>
      </c>
      <c r="E33" s="51" t="s">
        <v>159</v>
      </c>
      <c r="F33" s="38" t="s">
        <v>12</v>
      </c>
      <c r="G33" s="270">
        <v>0</v>
      </c>
      <c r="H33" s="270">
        <v>0</v>
      </c>
      <c r="I33" s="270">
        <v>18</v>
      </c>
      <c r="J33" s="270">
        <v>0</v>
      </c>
      <c r="K33" s="270">
        <v>0</v>
      </c>
      <c r="L33" s="194">
        <v>0</v>
      </c>
      <c r="M33" s="224">
        <v>18</v>
      </c>
      <c r="N33" s="224">
        <v>0</v>
      </c>
      <c r="O33" s="224">
        <v>105</v>
      </c>
      <c r="P33" s="270">
        <v>45</v>
      </c>
      <c r="Q33" s="270">
        <v>20</v>
      </c>
      <c r="R33" s="194">
        <v>0</v>
      </c>
      <c r="S33" s="224">
        <v>170</v>
      </c>
      <c r="T33" s="224">
        <v>65</v>
      </c>
      <c r="U33" s="190">
        <v>0.15</v>
      </c>
      <c r="V33" s="190">
        <v>0.05</v>
      </c>
    </row>
    <row r="34" spans="1:22" s="35" customFormat="1" x14ac:dyDescent="0.3">
      <c r="A34" s="98">
        <v>4</v>
      </c>
      <c r="B34" s="151" t="str">
        <f t="shared" si="2"/>
        <v xml:space="preserve">Cwm Taf Morgannwg UHB, Royal Glamorgan Hospital </v>
      </c>
      <c r="C34" s="270" t="s">
        <v>198</v>
      </c>
      <c r="D34" s="270">
        <v>2022</v>
      </c>
      <c r="E34" s="51" t="s">
        <v>160</v>
      </c>
      <c r="F34" s="38" t="s">
        <v>12</v>
      </c>
      <c r="G34" s="270">
        <v>15</v>
      </c>
      <c r="H34" s="270">
        <v>0</v>
      </c>
      <c r="I34" s="270">
        <v>1</v>
      </c>
      <c r="J34" s="270">
        <v>1</v>
      </c>
      <c r="K34" s="270">
        <v>1</v>
      </c>
      <c r="L34" s="194">
        <v>0</v>
      </c>
      <c r="M34" s="224">
        <v>3</v>
      </c>
      <c r="N34" s="224">
        <v>2</v>
      </c>
      <c r="O34" s="224">
        <v>2</v>
      </c>
      <c r="P34" s="270">
        <v>5</v>
      </c>
      <c r="Q34" s="270">
        <v>6</v>
      </c>
      <c r="R34" s="194">
        <v>2</v>
      </c>
      <c r="S34" s="224">
        <v>15</v>
      </c>
      <c r="T34" s="224">
        <v>13</v>
      </c>
      <c r="U34" s="190">
        <v>0.25929999999999997</v>
      </c>
      <c r="V34" s="190">
        <v>0</v>
      </c>
    </row>
    <row r="35" spans="1:22" s="35" customFormat="1" x14ac:dyDescent="0.3">
      <c r="A35" s="98">
        <v>5</v>
      </c>
      <c r="B35" s="151" t="str">
        <f t="shared" si="2"/>
        <v>Cwm Taf Morgannwg UHB, Prince Charles Hospital</v>
      </c>
      <c r="C35" s="270" t="s">
        <v>198</v>
      </c>
      <c r="D35" s="270">
        <v>2022</v>
      </c>
      <c r="E35" s="51" t="s">
        <v>161</v>
      </c>
      <c r="F35" s="38" t="s">
        <v>12</v>
      </c>
      <c r="G35" s="270">
        <v>16</v>
      </c>
      <c r="H35" s="270">
        <v>15</v>
      </c>
      <c r="I35" s="270">
        <v>0</v>
      </c>
      <c r="J35" s="270">
        <v>0</v>
      </c>
      <c r="K35" s="270">
        <v>11</v>
      </c>
      <c r="L35" s="194">
        <v>0</v>
      </c>
      <c r="M35" s="224">
        <v>11</v>
      </c>
      <c r="N35" s="224">
        <v>11</v>
      </c>
      <c r="O35" s="224">
        <v>2</v>
      </c>
      <c r="P35" s="270">
        <v>8</v>
      </c>
      <c r="Q35" s="270">
        <v>18</v>
      </c>
      <c r="R35" s="194">
        <v>5</v>
      </c>
      <c r="S35" s="224">
        <v>33</v>
      </c>
      <c r="T35" s="224">
        <v>31</v>
      </c>
      <c r="U35" s="190">
        <v>0.28499999999999998</v>
      </c>
      <c r="V35" s="190">
        <v>3.6999999999999998E-2</v>
      </c>
    </row>
    <row r="36" spans="1:22" s="35" customFormat="1" x14ac:dyDescent="0.3">
      <c r="A36" s="98">
        <v>6</v>
      </c>
      <c r="B36" s="151" t="str">
        <f t="shared" si="2"/>
        <v>Hywel Dda UHB, Glangwilli Hospital</v>
      </c>
      <c r="C36" s="270"/>
      <c r="D36" s="270"/>
      <c r="E36" s="51"/>
      <c r="F36" s="38"/>
      <c r="G36" s="270" t="s">
        <v>155</v>
      </c>
      <c r="H36" s="270" t="s">
        <v>155</v>
      </c>
      <c r="I36" s="270" t="s">
        <v>155</v>
      </c>
      <c r="J36" s="270" t="s">
        <v>155</v>
      </c>
      <c r="K36" s="270" t="s">
        <v>155</v>
      </c>
      <c r="L36" s="194" t="s">
        <v>155</v>
      </c>
      <c r="M36" s="224" t="s">
        <v>155</v>
      </c>
      <c r="N36" s="224" t="s">
        <v>155</v>
      </c>
      <c r="O36" s="224" t="s">
        <v>155</v>
      </c>
      <c r="P36" s="270" t="s">
        <v>155</v>
      </c>
      <c r="Q36" s="270" t="s">
        <v>155</v>
      </c>
      <c r="R36" s="194" t="s">
        <v>155</v>
      </c>
      <c r="S36" s="224" t="s">
        <v>155</v>
      </c>
      <c r="T36" s="224" t="s">
        <v>155</v>
      </c>
      <c r="U36" s="190" t="s">
        <v>155</v>
      </c>
      <c r="V36" s="190" t="s">
        <v>155</v>
      </c>
    </row>
    <row r="37" spans="1:22" s="35" customFormat="1" x14ac:dyDescent="0.3">
      <c r="A37" s="98">
        <v>7</v>
      </c>
      <c r="B37" s="151" t="str">
        <f t="shared" si="2"/>
        <v>Hywel Dda UHB, Withybush Hospital</v>
      </c>
      <c r="C37" s="270" t="s">
        <v>198</v>
      </c>
      <c r="D37" s="270">
        <v>2022</v>
      </c>
      <c r="E37" s="51" t="s">
        <v>166</v>
      </c>
      <c r="F37" s="38" t="s">
        <v>12</v>
      </c>
      <c r="G37" s="270">
        <v>11</v>
      </c>
      <c r="H37" s="270">
        <v>15</v>
      </c>
      <c r="I37" s="270">
        <v>2</v>
      </c>
      <c r="J37" s="270">
        <v>0</v>
      </c>
      <c r="K37" s="270">
        <v>0</v>
      </c>
      <c r="L37" s="194">
        <v>0</v>
      </c>
      <c r="M37" s="224">
        <v>2</v>
      </c>
      <c r="N37" s="224">
        <v>0</v>
      </c>
      <c r="O37" s="224">
        <v>11</v>
      </c>
      <c r="P37" s="270">
        <v>11</v>
      </c>
      <c r="Q37" s="270">
        <v>17</v>
      </c>
      <c r="R37" s="194">
        <v>0</v>
      </c>
      <c r="S37" s="224">
        <v>39</v>
      </c>
      <c r="T37" s="224">
        <v>28</v>
      </c>
      <c r="U37" s="190">
        <v>0</v>
      </c>
      <c r="V37" s="190">
        <v>0</v>
      </c>
    </row>
    <row r="38" spans="1:22" x14ac:dyDescent="0.3">
      <c r="A38" s="98">
        <v>8</v>
      </c>
      <c r="B38" s="151" t="str">
        <f t="shared" si="2"/>
        <v>Swansea Bay UHB, Morriston / Singleton Hospitals</v>
      </c>
      <c r="C38" s="270" t="s">
        <v>198</v>
      </c>
      <c r="D38" s="270">
        <v>2022</v>
      </c>
      <c r="E38" s="51" t="s">
        <v>162</v>
      </c>
      <c r="F38" s="38" t="s">
        <v>12</v>
      </c>
      <c r="G38" s="270">
        <v>8.48</v>
      </c>
      <c r="H38" s="270">
        <v>26.67</v>
      </c>
      <c r="I38" s="270">
        <v>34</v>
      </c>
      <c r="J38" s="270">
        <v>12</v>
      </c>
      <c r="K38" s="270" t="s">
        <v>55</v>
      </c>
      <c r="L38" s="194">
        <v>0</v>
      </c>
      <c r="M38" s="224">
        <v>46</v>
      </c>
      <c r="N38" s="224">
        <v>12</v>
      </c>
      <c r="O38" s="224">
        <v>32</v>
      </c>
      <c r="P38" s="270">
        <v>70</v>
      </c>
      <c r="Q38" s="270">
        <v>19</v>
      </c>
      <c r="R38" s="194">
        <v>0</v>
      </c>
      <c r="S38" s="224">
        <v>121</v>
      </c>
      <c r="T38" s="224">
        <v>89</v>
      </c>
      <c r="U38" s="190">
        <v>3.49E-2</v>
      </c>
      <c r="V38" s="190">
        <v>0</v>
      </c>
    </row>
    <row r="39" spans="1:22" x14ac:dyDescent="0.3">
      <c r="A39" s="98">
        <v>9</v>
      </c>
      <c r="B39" s="151" t="str">
        <f t="shared" si="2"/>
        <v xml:space="preserve">Barnstaple, North Devon District Hospital </v>
      </c>
      <c r="C39" s="270"/>
      <c r="D39" s="270"/>
      <c r="E39" s="51"/>
      <c r="F39" s="38"/>
      <c r="G39" s="270" t="s">
        <v>155</v>
      </c>
      <c r="H39" s="270" t="s">
        <v>155</v>
      </c>
      <c r="I39" s="270" t="s">
        <v>155</v>
      </c>
      <c r="J39" s="270" t="s">
        <v>155</v>
      </c>
      <c r="K39" s="270" t="s">
        <v>155</v>
      </c>
      <c r="L39" s="194" t="s">
        <v>155</v>
      </c>
      <c r="M39" s="224" t="s">
        <v>155</v>
      </c>
      <c r="N39" s="224" t="s">
        <v>155</v>
      </c>
      <c r="O39" s="224" t="s">
        <v>155</v>
      </c>
      <c r="P39" s="270" t="s">
        <v>155</v>
      </c>
      <c r="Q39" s="270" t="s">
        <v>155</v>
      </c>
      <c r="R39" s="194" t="s">
        <v>155</v>
      </c>
      <c r="S39" s="224" t="s">
        <v>155</v>
      </c>
      <c r="T39" s="224" t="s">
        <v>155</v>
      </c>
      <c r="U39" s="190" t="s">
        <v>155</v>
      </c>
      <c r="V39" s="190" t="s">
        <v>155</v>
      </c>
    </row>
    <row r="40" spans="1:22" x14ac:dyDescent="0.3">
      <c r="A40" s="98">
        <v>10</v>
      </c>
      <c r="B40" s="151" t="str">
        <f t="shared" si="2"/>
        <v xml:space="preserve">Bath, Royal United Hospital </v>
      </c>
      <c r="C40" s="270" t="s">
        <v>198</v>
      </c>
      <c r="D40" s="270">
        <v>2022</v>
      </c>
      <c r="E40" s="51" t="s">
        <v>59</v>
      </c>
      <c r="F40" s="38" t="s">
        <v>12</v>
      </c>
      <c r="G40" s="270">
        <v>28</v>
      </c>
      <c r="H40" s="270">
        <v>8</v>
      </c>
      <c r="I40" s="270">
        <v>9</v>
      </c>
      <c r="J40" s="270">
        <v>4</v>
      </c>
      <c r="K40" s="270">
        <v>0</v>
      </c>
      <c r="L40" s="194">
        <v>0</v>
      </c>
      <c r="M40" s="224">
        <v>13</v>
      </c>
      <c r="N40" s="224">
        <v>4</v>
      </c>
      <c r="O40" s="224">
        <v>0</v>
      </c>
      <c r="P40" s="270">
        <v>1</v>
      </c>
      <c r="Q40" s="270">
        <v>0</v>
      </c>
      <c r="R40" s="194">
        <v>0</v>
      </c>
      <c r="S40" s="224">
        <v>1</v>
      </c>
      <c r="T40" s="224">
        <v>1</v>
      </c>
      <c r="U40" s="190">
        <v>0.04</v>
      </c>
      <c r="V40" s="190">
        <v>0.04</v>
      </c>
    </row>
    <row r="41" spans="1:22" x14ac:dyDescent="0.3">
      <c r="A41" s="98">
        <v>11</v>
      </c>
      <c r="B41" s="151" t="str">
        <f t="shared" si="2"/>
        <v>Bristol, Bristol Heart Institute / Bristol Royal Hospital for Children</v>
      </c>
      <c r="C41" s="270" t="s">
        <v>49</v>
      </c>
      <c r="D41" s="270">
        <v>2022</v>
      </c>
      <c r="E41" s="51" t="s">
        <v>201</v>
      </c>
      <c r="F41" s="38" t="s">
        <v>12</v>
      </c>
      <c r="G41" s="270">
        <v>78</v>
      </c>
      <c r="H41" s="270">
        <v>0</v>
      </c>
      <c r="I41" s="270">
        <v>339</v>
      </c>
      <c r="J41" s="270">
        <v>313</v>
      </c>
      <c r="K41" s="270">
        <v>445</v>
      </c>
      <c r="L41" s="194">
        <v>250</v>
      </c>
      <c r="M41" s="224">
        <v>1347</v>
      </c>
      <c r="N41" s="224">
        <v>1008</v>
      </c>
      <c r="O41" s="224">
        <v>0</v>
      </c>
      <c r="P41" s="270">
        <v>0</v>
      </c>
      <c r="Q41" s="270">
        <v>0</v>
      </c>
      <c r="R41" s="194">
        <v>0</v>
      </c>
      <c r="S41" s="224">
        <v>0</v>
      </c>
      <c r="T41" s="224">
        <v>0</v>
      </c>
      <c r="U41" s="190">
        <v>0.06</v>
      </c>
      <c r="V41" s="190">
        <v>0</v>
      </c>
    </row>
    <row r="42" spans="1:22" x14ac:dyDescent="0.3">
      <c r="A42" s="98">
        <v>12</v>
      </c>
      <c r="B42" s="151" t="str">
        <f t="shared" si="2"/>
        <v xml:space="preserve">Exeter, Royal Devon and Exeter Hospital </v>
      </c>
      <c r="C42" s="270" t="s">
        <v>198</v>
      </c>
      <c r="D42" s="270">
        <v>2022</v>
      </c>
      <c r="E42" s="51" t="s">
        <v>60</v>
      </c>
      <c r="F42" s="38" t="s">
        <v>12</v>
      </c>
      <c r="G42" s="270">
        <v>15</v>
      </c>
      <c r="H42" s="270">
        <v>8</v>
      </c>
      <c r="I42" s="270">
        <v>39</v>
      </c>
      <c r="J42" s="270">
        <v>50</v>
      </c>
      <c r="K42" s="270">
        <v>66</v>
      </c>
      <c r="L42" s="194">
        <v>11</v>
      </c>
      <c r="M42" s="224">
        <v>166</v>
      </c>
      <c r="N42" s="224">
        <v>127</v>
      </c>
      <c r="O42" s="224">
        <v>22</v>
      </c>
      <c r="P42" s="270">
        <v>44</v>
      </c>
      <c r="Q42" s="270">
        <v>35</v>
      </c>
      <c r="R42" s="194">
        <v>15</v>
      </c>
      <c r="S42" s="224">
        <v>116</v>
      </c>
      <c r="T42" s="224">
        <v>94</v>
      </c>
      <c r="U42" s="190">
        <v>0.06</v>
      </c>
      <c r="V42" s="190">
        <v>0.03</v>
      </c>
    </row>
    <row r="43" spans="1:22" x14ac:dyDescent="0.3">
      <c r="A43" s="98">
        <v>13</v>
      </c>
      <c r="B43" s="151" t="str">
        <f t="shared" si="2"/>
        <v>Gloucester, Gloucestershire Hospitals</v>
      </c>
      <c r="C43" s="270" t="s">
        <v>198</v>
      </c>
      <c r="D43" s="270">
        <v>2022</v>
      </c>
      <c r="E43" s="51" t="s">
        <v>56</v>
      </c>
      <c r="F43" s="38" t="s">
        <v>12</v>
      </c>
      <c r="G43" s="270">
        <v>10.9</v>
      </c>
      <c r="H43" s="270">
        <v>5.4</v>
      </c>
      <c r="I43" s="270">
        <v>51</v>
      </c>
      <c r="J43" s="270">
        <v>43</v>
      </c>
      <c r="K43" s="270">
        <v>68</v>
      </c>
      <c r="L43" s="194">
        <v>140</v>
      </c>
      <c r="M43" s="224">
        <v>302</v>
      </c>
      <c r="N43" s="224">
        <v>251</v>
      </c>
      <c r="O43" s="224">
        <v>15</v>
      </c>
      <c r="P43" s="270">
        <v>14</v>
      </c>
      <c r="Q43" s="270">
        <v>30</v>
      </c>
      <c r="R43" s="194">
        <v>42</v>
      </c>
      <c r="S43" s="224">
        <v>101</v>
      </c>
      <c r="T43" s="224">
        <v>86</v>
      </c>
      <c r="U43" s="190">
        <v>0.1091</v>
      </c>
      <c r="V43" s="190">
        <v>0</v>
      </c>
    </row>
    <row r="44" spans="1:22" x14ac:dyDescent="0.3">
      <c r="A44" s="98">
        <v>14</v>
      </c>
      <c r="B44" s="151" t="str">
        <f t="shared" si="2"/>
        <v xml:space="preserve">Plymouth, Derriford Hospital </v>
      </c>
      <c r="C44" s="270"/>
      <c r="D44" s="270"/>
      <c r="E44" s="51"/>
      <c r="F44" s="38"/>
      <c r="G44" s="270" t="s">
        <v>155</v>
      </c>
      <c r="H44" s="270" t="s">
        <v>155</v>
      </c>
      <c r="I44" s="270" t="s">
        <v>155</v>
      </c>
      <c r="J44" s="270" t="s">
        <v>155</v>
      </c>
      <c r="K44" s="270" t="s">
        <v>155</v>
      </c>
      <c r="L44" s="194" t="s">
        <v>155</v>
      </c>
      <c r="M44" s="224" t="s">
        <v>155</v>
      </c>
      <c r="N44" s="224" t="s">
        <v>155</v>
      </c>
      <c r="O44" s="224" t="s">
        <v>155</v>
      </c>
      <c r="P44" s="270" t="s">
        <v>155</v>
      </c>
      <c r="Q44" s="270" t="s">
        <v>155</v>
      </c>
      <c r="R44" s="194" t="s">
        <v>155</v>
      </c>
      <c r="S44" s="224" t="s">
        <v>155</v>
      </c>
      <c r="T44" s="224" t="s">
        <v>155</v>
      </c>
      <c r="U44" s="190" t="s">
        <v>155</v>
      </c>
      <c r="V44" s="190" t="s">
        <v>155</v>
      </c>
    </row>
    <row r="45" spans="1:22" x14ac:dyDescent="0.3">
      <c r="A45" s="98">
        <v>15</v>
      </c>
      <c r="B45" s="151" t="str">
        <f t="shared" si="2"/>
        <v xml:space="preserve">Swindon, Great Weston Hospital </v>
      </c>
      <c r="C45" s="270" t="s">
        <v>198</v>
      </c>
      <c r="D45" s="270">
        <v>2022</v>
      </c>
      <c r="E45" s="51" t="s">
        <v>52</v>
      </c>
      <c r="F45" s="38" t="s">
        <v>12</v>
      </c>
      <c r="G45" s="270">
        <v>0</v>
      </c>
      <c r="H45" s="270">
        <v>0</v>
      </c>
      <c r="I45" s="270">
        <v>0</v>
      </c>
      <c r="J45" s="270">
        <v>0</v>
      </c>
      <c r="K45" s="270">
        <v>0</v>
      </c>
      <c r="L45" s="194">
        <v>0</v>
      </c>
      <c r="M45" s="224">
        <v>0</v>
      </c>
      <c r="N45" s="224">
        <v>0</v>
      </c>
      <c r="O45" s="224">
        <v>39</v>
      </c>
      <c r="P45" s="270">
        <v>1</v>
      </c>
      <c r="Q45" s="270">
        <v>2</v>
      </c>
      <c r="R45" s="194">
        <v>0</v>
      </c>
      <c r="S45" s="224">
        <v>42</v>
      </c>
      <c r="T45" s="224">
        <v>3</v>
      </c>
      <c r="U45" s="190">
        <v>7.0000000000000007E-2</v>
      </c>
      <c r="V45" s="190">
        <v>0.04</v>
      </c>
    </row>
    <row r="46" spans="1:22" x14ac:dyDescent="0.3">
      <c r="A46" s="98">
        <v>16</v>
      </c>
      <c r="B46" s="151" t="str">
        <f t="shared" si="2"/>
        <v xml:space="preserve">Taunton, Musgrove Park Hospital </v>
      </c>
      <c r="C46" s="270" t="s">
        <v>198</v>
      </c>
      <c r="D46" s="270">
        <v>2022</v>
      </c>
      <c r="E46" s="51" t="s">
        <v>57</v>
      </c>
      <c r="F46" s="38" t="s">
        <v>12</v>
      </c>
      <c r="G46" s="270">
        <v>44</v>
      </c>
      <c r="H46" s="270">
        <v>44</v>
      </c>
      <c r="I46" s="270">
        <v>40</v>
      </c>
      <c r="J46" s="270">
        <v>14</v>
      </c>
      <c r="K46" s="270">
        <v>0</v>
      </c>
      <c r="L46" s="194">
        <v>0</v>
      </c>
      <c r="M46" s="224">
        <v>54</v>
      </c>
      <c r="N46" s="224">
        <v>14</v>
      </c>
      <c r="O46" s="224">
        <v>16</v>
      </c>
      <c r="P46" s="270">
        <v>28</v>
      </c>
      <c r="Q46" s="270">
        <v>37</v>
      </c>
      <c r="R46" s="194">
        <v>14</v>
      </c>
      <c r="S46" s="224">
        <v>95</v>
      </c>
      <c r="T46" s="224">
        <v>79</v>
      </c>
      <c r="U46" s="190">
        <v>0.15</v>
      </c>
      <c r="V46" s="190">
        <v>0.02</v>
      </c>
    </row>
    <row r="47" spans="1:22" x14ac:dyDescent="0.3">
      <c r="A47" s="98">
        <v>17</v>
      </c>
      <c r="B47" s="151" t="str">
        <f t="shared" si="2"/>
        <v xml:space="preserve">Torquay, Torbay General District Hospital </v>
      </c>
      <c r="C47" s="270" t="s">
        <v>198</v>
      </c>
      <c r="D47" s="270">
        <v>2022</v>
      </c>
      <c r="E47" s="51" t="s">
        <v>54</v>
      </c>
      <c r="F47" s="38" t="s">
        <v>12</v>
      </c>
      <c r="G47" s="270">
        <v>4</v>
      </c>
      <c r="H47" s="270">
        <v>4</v>
      </c>
      <c r="I47" s="270">
        <v>28</v>
      </c>
      <c r="J47" s="270">
        <v>66</v>
      </c>
      <c r="K47" s="270">
        <v>20</v>
      </c>
      <c r="L47" s="194">
        <v>1</v>
      </c>
      <c r="M47" s="224">
        <v>115</v>
      </c>
      <c r="N47" s="224">
        <v>87</v>
      </c>
      <c r="O47" s="224">
        <v>25</v>
      </c>
      <c r="P47" s="270">
        <v>30</v>
      </c>
      <c r="Q47" s="270">
        <v>72</v>
      </c>
      <c r="R47" s="194">
        <v>19</v>
      </c>
      <c r="S47" s="224">
        <v>146</v>
      </c>
      <c r="T47" s="224">
        <v>121</v>
      </c>
      <c r="U47" s="190">
        <v>0.03</v>
      </c>
      <c r="V47" s="190">
        <v>0</v>
      </c>
    </row>
    <row r="48" spans="1:22" x14ac:dyDescent="0.3">
      <c r="A48" s="98">
        <v>18</v>
      </c>
      <c r="B48" s="154" t="str">
        <f t="shared" si="2"/>
        <v xml:space="preserve">Truro, Royal Cornwall Hospital </v>
      </c>
      <c r="C48" s="270"/>
      <c r="D48" s="270"/>
      <c r="E48" s="51"/>
      <c r="F48" s="38"/>
      <c r="G48" s="270" t="s">
        <v>155</v>
      </c>
      <c r="H48" s="270" t="s">
        <v>155</v>
      </c>
      <c r="I48" s="270" t="s">
        <v>155</v>
      </c>
      <c r="J48" s="270" t="s">
        <v>155</v>
      </c>
      <c r="K48" s="270" t="s">
        <v>155</v>
      </c>
      <c r="L48" s="194" t="s">
        <v>155</v>
      </c>
      <c r="M48" s="224" t="s">
        <v>155</v>
      </c>
      <c r="N48" s="224" t="s">
        <v>155</v>
      </c>
      <c r="O48" s="224" t="s">
        <v>155</v>
      </c>
      <c r="P48" s="270" t="s">
        <v>155</v>
      </c>
      <c r="Q48" s="270" t="s">
        <v>155</v>
      </c>
      <c r="R48" s="194" t="s">
        <v>155</v>
      </c>
      <c r="S48" s="224" t="s">
        <v>155</v>
      </c>
      <c r="T48" s="224" t="s">
        <v>155</v>
      </c>
      <c r="U48" s="190" t="s">
        <v>155</v>
      </c>
      <c r="V48" s="190" t="s">
        <v>155</v>
      </c>
    </row>
    <row r="49" spans="1:22" x14ac:dyDescent="0.3">
      <c r="A49" s="98"/>
      <c r="B49" s="98"/>
      <c r="C49" s="48"/>
      <c r="D49" s="48"/>
      <c r="E49" s="6">
        <f t="shared" ref="E49:V49" ca="1" si="3">OFFSET(E31,PaedChoice-1,0)</f>
        <v>0</v>
      </c>
      <c r="F49" s="6">
        <f t="shared" ca="1" si="3"/>
        <v>0</v>
      </c>
      <c r="G49" s="5" t="str">
        <f t="shared" ca="1" si="3"/>
        <v>No data</v>
      </c>
      <c r="H49" s="5" t="str">
        <f t="shared" ca="1" si="3"/>
        <v>No data</v>
      </c>
      <c r="I49" s="5" t="str">
        <f t="shared" ca="1" si="3"/>
        <v>No data</v>
      </c>
      <c r="J49" s="5" t="str">
        <f t="shared" ca="1" si="3"/>
        <v>No data</v>
      </c>
      <c r="K49" s="5" t="str">
        <f t="shared" ca="1" si="3"/>
        <v>No data</v>
      </c>
      <c r="L49" s="5" t="str">
        <f t="shared" ca="1" si="3"/>
        <v>No data</v>
      </c>
      <c r="M49" s="5" t="str">
        <f t="shared" ca="1" si="3"/>
        <v>No data</v>
      </c>
      <c r="N49" s="5" t="str">
        <f t="shared" ca="1" si="3"/>
        <v>No data</v>
      </c>
      <c r="O49" s="5" t="str">
        <f t="shared" ca="1" si="3"/>
        <v>No data</v>
      </c>
      <c r="P49" s="5" t="str">
        <f t="shared" ca="1" si="3"/>
        <v>No data</v>
      </c>
      <c r="Q49" s="5" t="str">
        <f t="shared" ca="1" si="3"/>
        <v>No data</v>
      </c>
      <c r="R49" s="5" t="str">
        <f t="shared" ca="1" si="3"/>
        <v>No data</v>
      </c>
      <c r="S49" s="5" t="str">
        <f t="shared" ca="1" si="3"/>
        <v>No data</v>
      </c>
      <c r="T49" s="5" t="str">
        <f t="shared" ca="1" si="3"/>
        <v>No data</v>
      </c>
      <c r="U49" s="234" t="str">
        <f t="shared" ca="1" si="3"/>
        <v>No data</v>
      </c>
      <c r="V49" s="234" t="str">
        <f t="shared" ca="1" si="3"/>
        <v>No data</v>
      </c>
    </row>
    <row r="50" spans="1:22" s="36" customFormat="1" ht="21" x14ac:dyDescent="0.3"/>
    <row r="51" spans="1:22" s="7" customFormat="1" ht="21" x14ac:dyDescent="0.3">
      <c r="A51" s="7" t="s">
        <v>5</v>
      </c>
    </row>
    <row r="52" spans="1:22" s="36" customFormat="1" ht="21" x14ac:dyDescent="0.3">
      <c r="A52" s="53" t="s">
        <v>63</v>
      </c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</row>
    <row r="53" spans="1:22" x14ac:dyDescent="0.3">
      <c r="B53" s="2">
        <v>2</v>
      </c>
      <c r="C53" s="2">
        <v>3</v>
      </c>
      <c r="D53" s="2">
        <v>4</v>
      </c>
      <c r="E53" s="2">
        <v>5</v>
      </c>
      <c r="F53" s="2">
        <v>6</v>
      </c>
      <c r="G53" s="2">
        <v>7</v>
      </c>
      <c r="H53" s="2">
        <v>8</v>
      </c>
      <c r="I53" s="2">
        <v>9</v>
      </c>
      <c r="J53" s="2">
        <v>10</v>
      </c>
      <c r="K53" s="2">
        <v>11</v>
      </c>
      <c r="L53" s="2">
        <v>12</v>
      </c>
      <c r="M53" s="2">
        <v>13</v>
      </c>
      <c r="N53" s="2">
        <v>14</v>
      </c>
      <c r="O53" s="2">
        <v>15</v>
      </c>
      <c r="P53" s="2">
        <v>16</v>
      </c>
      <c r="Q53" s="2">
        <v>17</v>
      </c>
      <c r="R53" s="2">
        <v>18</v>
      </c>
      <c r="S53" s="2">
        <v>19</v>
      </c>
      <c r="T53" s="2">
        <v>20</v>
      </c>
      <c r="U53" s="2">
        <v>21</v>
      </c>
      <c r="V53" s="2">
        <v>22</v>
      </c>
    </row>
    <row r="54" spans="1:22" s="47" customFormat="1" x14ac:dyDescent="0.3">
      <c r="A54" s="98"/>
      <c r="B54" s="98"/>
      <c r="C54" s="413" t="s">
        <v>110</v>
      </c>
      <c r="D54" s="413" t="s">
        <v>111</v>
      </c>
      <c r="E54" s="413" t="s">
        <v>0</v>
      </c>
      <c r="F54" s="413" t="s">
        <v>112</v>
      </c>
      <c r="G54" s="413" t="s">
        <v>42</v>
      </c>
      <c r="H54" s="413"/>
      <c r="I54" s="413" t="s">
        <v>43</v>
      </c>
      <c r="J54" s="413"/>
      <c r="K54" s="413"/>
      <c r="L54" s="413"/>
      <c r="M54" s="413"/>
      <c r="N54" s="413"/>
      <c r="O54" s="413"/>
      <c r="P54" s="413"/>
      <c r="Q54" s="413"/>
      <c r="R54" s="413"/>
      <c r="S54" s="413"/>
      <c r="T54" s="413"/>
      <c r="U54" s="413" t="s">
        <v>41</v>
      </c>
      <c r="V54" s="413"/>
    </row>
    <row r="55" spans="1:22" s="47" customFormat="1" x14ac:dyDescent="0.3">
      <c r="A55" s="98"/>
      <c r="B55" s="98"/>
      <c r="C55" s="413"/>
      <c r="D55" s="413"/>
      <c r="E55" s="413"/>
      <c r="F55" s="413"/>
      <c r="G55" s="413" t="s">
        <v>1</v>
      </c>
      <c r="H55" s="413" t="s">
        <v>2</v>
      </c>
      <c r="I55" s="413" t="s">
        <v>1</v>
      </c>
      <c r="J55" s="413"/>
      <c r="K55" s="413"/>
      <c r="L55" s="413"/>
      <c r="M55" s="413"/>
      <c r="N55" s="413"/>
      <c r="O55" s="413" t="s">
        <v>40</v>
      </c>
      <c r="P55" s="413"/>
      <c r="Q55" s="413"/>
      <c r="R55" s="413"/>
      <c r="S55" s="413"/>
      <c r="T55" s="413"/>
      <c r="U55" s="413" t="s">
        <v>1</v>
      </c>
      <c r="V55" s="413" t="s">
        <v>40</v>
      </c>
    </row>
    <row r="56" spans="1:22" s="47" customFormat="1" ht="28.8" x14ac:dyDescent="0.3">
      <c r="A56" s="98"/>
      <c r="B56" s="98"/>
      <c r="C56" s="413"/>
      <c r="D56" s="413"/>
      <c r="E56" s="413"/>
      <c r="F56" s="413"/>
      <c r="G56" s="413"/>
      <c r="H56" s="413"/>
      <c r="I56" s="98" t="s">
        <v>113</v>
      </c>
      <c r="J56" s="98" t="s">
        <v>37</v>
      </c>
      <c r="K56" s="98" t="s">
        <v>38</v>
      </c>
      <c r="L56" s="37" t="s">
        <v>39</v>
      </c>
      <c r="M56" s="98" t="s">
        <v>114</v>
      </c>
      <c r="N56" s="98" t="s">
        <v>115</v>
      </c>
      <c r="O56" s="98" t="s">
        <v>113</v>
      </c>
      <c r="P56" s="98" t="s">
        <v>37</v>
      </c>
      <c r="Q56" s="98" t="s">
        <v>38</v>
      </c>
      <c r="R56" s="37" t="s">
        <v>39</v>
      </c>
      <c r="S56" s="98" t="s">
        <v>114</v>
      </c>
      <c r="T56" s="98" t="s">
        <v>116</v>
      </c>
      <c r="U56" s="413"/>
      <c r="V56" s="413"/>
    </row>
    <row r="57" spans="1:22" s="47" customFormat="1" x14ac:dyDescent="0.3">
      <c r="A57" s="98">
        <v>1</v>
      </c>
      <c r="B57" s="151" t="str">
        <f t="shared" ref="B57:B73" si="4">VLOOKUP(A57,AdultSites,2)</f>
        <v>Aneurin Bevan UHB, Nevill Hall &amp; Royal Gwent Hospitals</v>
      </c>
      <c r="C57" s="275" t="s">
        <v>202</v>
      </c>
      <c r="D57" s="275">
        <v>2022</v>
      </c>
      <c r="E57" s="51" t="s">
        <v>157</v>
      </c>
      <c r="F57" s="38" t="s">
        <v>11</v>
      </c>
      <c r="G57" s="275">
        <v>0</v>
      </c>
      <c r="H57" s="275">
        <v>0</v>
      </c>
      <c r="I57" s="275">
        <v>0</v>
      </c>
      <c r="J57" s="275">
        <v>0</v>
      </c>
      <c r="K57" s="275">
        <v>0</v>
      </c>
      <c r="L57" s="194">
        <v>0</v>
      </c>
      <c r="M57" s="224">
        <v>0</v>
      </c>
      <c r="N57" s="224">
        <v>0</v>
      </c>
      <c r="O57" s="224">
        <v>20</v>
      </c>
      <c r="P57" s="275">
        <v>27</v>
      </c>
      <c r="Q57" s="275">
        <v>77</v>
      </c>
      <c r="R57" s="194">
        <v>108</v>
      </c>
      <c r="S57" s="224">
        <v>232</v>
      </c>
      <c r="T57" s="224">
        <v>212</v>
      </c>
      <c r="U57" s="190">
        <v>0</v>
      </c>
      <c r="V57" s="190">
        <v>0</v>
      </c>
    </row>
    <row r="58" spans="1:22" s="47" customFormat="1" x14ac:dyDescent="0.3">
      <c r="A58" s="98">
        <v>2</v>
      </c>
      <c r="B58" s="151" t="str">
        <f t="shared" si="4"/>
        <v>Cardiff &amp; Vale UHB, Noah’s Ark / University Hospital Wales</v>
      </c>
      <c r="C58" s="275" t="s">
        <v>202</v>
      </c>
      <c r="D58" s="275">
        <v>2022</v>
      </c>
      <c r="E58" s="51" t="s">
        <v>158</v>
      </c>
      <c r="F58" s="38" t="s">
        <v>11</v>
      </c>
      <c r="G58" s="275">
        <v>24</v>
      </c>
      <c r="H58" s="275">
        <v>0</v>
      </c>
      <c r="I58" s="275">
        <v>13</v>
      </c>
      <c r="J58" s="275">
        <v>3</v>
      </c>
      <c r="K58" s="275">
        <v>37</v>
      </c>
      <c r="L58" s="194">
        <v>20</v>
      </c>
      <c r="M58" s="224">
        <v>73</v>
      </c>
      <c r="N58" s="224">
        <v>60</v>
      </c>
      <c r="O58" s="224">
        <v>0</v>
      </c>
      <c r="P58" s="275">
        <v>0</v>
      </c>
      <c r="Q58" s="275">
        <v>0</v>
      </c>
      <c r="R58" s="194">
        <v>0</v>
      </c>
      <c r="S58" s="224">
        <v>0</v>
      </c>
      <c r="T58" s="224">
        <v>0</v>
      </c>
      <c r="U58" s="190">
        <v>0.15</v>
      </c>
      <c r="V58" s="190">
        <v>0</v>
      </c>
    </row>
    <row r="59" spans="1:22" s="47" customFormat="1" x14ac:dyDescent="0.3">
      <c r="A59" s="98">
        <v>3</v>
      </c>
      <c r="B59" s="151" t="str">
        <f t="shared" si="4"/>
        <v>Cwm Taf Morgannwg UHB, Princess of Wales Hospital</v>
      </c>
      <c r="C59" s="275" t="s">
        <v>202</v>
      </c>
      <c r="D59" s="275">
        <v>2022</v>
      </c>
      <c r="E59" s="51" t="s">
        <v>159</v>
      </c>
      <c r="F59" s="38" t="s">
        <v>11</v>
      </c>
      <c r="G59" s="275">
        <v>0</v>
      </c>
      <c r="H59" s="275">
        <v>0</v>
      </c>
      <c r="I59" s="275">
        <v>0</v>
      </c>
      <c r="J59" s="275">
        <v>0</v>
      </c>
      <c r="K59" s="275">
        <v>0</v>
      </c>
      <c r="L59" s="194">
        <v>0</v>
      </c>
      <c r="M59" s="224">
        <v>0</v>
      </c>
      <c r="N59" s="224">
        <v>0</v>
      </c>
      <c r="O59" s="224">
        <v>34</v>
      </c>
      <c r="P59" s="275">
        <v>36</v>
      </c>
      <c r="Q59" s="275">
        <v>22</v>
      </c>
      <c r="R59" s="194">
        <v>166</v>
      </c>
      <c r="S59" s="224">
        <v>258</v>
      </c>
      <c r="T59" s="224">
        <v>224</v>
      </c>
      <c r="U59" s="190">
        <v>0</v>
      </c>
      <c r="V59" s="190">
        <v>0</v>
      </c>
    </row>
    <row r="60" spans="1:22" s="47" customFormat="1" x14ac:dyDescent="0.3">
      <c r="A60" s="98">
        <v>4</v>
      </c>
      <c r="B60" s="151" t="str">
        <f t="shared" si="4"/>
        <v xml:space="preserve">Cwm Taf Morgannwg UHB, Royal Glamorgan Hospital </v>
      </c>
      <c r="C60" s="275" t="s">
        <v>202</v>
      </c>
      <c r="D60" s="275">
        <v>2022</v>
      </c>
      <c r="E60" s="51" t="s">
        <v>160</v>
      </c>
      <c r="F60" s="38" t="s">
        <v>11</v>
      </c>
      <c r="G60" s="275">
        <v>0</v>
      </c>
      <c r="H60" s="275">
        <v>0</v>
      </c>
      <c r="I60" s="275">
        <v>0</v>
      </c>
      <c r="J60" s="275">
        <v>0</v>
      </c>
      <c r="K60" s="275">
        <v>0</v>
      </c>
      <c r="L60" s="194">
        <v>0</v>
      </c>
      <c r="M60" s="224">
        <v>0</v>
      </c>
      <c r="N60" s="224">
        <v>0</v>
      </c>
      <c r="O60" s="224">
        <v>0</v>
      </c>
      <c r="P60" s="275">
        <v>0</v>
      </c>
      <c r="Q60" s="275">
        <v>0</v>
      </c>
      <c r="R60" s="194">
        <v>0</v>
      </c>
      <c r="S60" s="224">
        <v>0</v>
      </c>
      <c r="T60" s="224">
        <v>0</v>
      </c>
      <c r="U60" s="190">
        <v>0.13</v>
      </c>
      <c r="V60" s="190">
        <v>0</v>
      </c>
    </row>
    <row r="61" spans="1:22" s="47" customFormat="1" x14ac:dyDescent="0.3">
      <c r="A61" s="98">
        <v>5</v>
      </c>
      <c r="B61" s="151" t="str">
        <f t="shared" si="4"/>
        <v>Cwm Taf Morgannwg UHB, Prince Charles Hospital</v>
      </c>
      <c r="C61" s="275" t="s">
        <v>202</v>
      </c>
      <c r="D61" s="275">
        <v>2022</v>
      </c>
      <c r="E61" s="51" t="s">
        <v>161</v>
      </c>
      <c r="F61" s="38" t="s">
        <v>11</v>
      </c>
      <c r="G61" s="275">
        <v>0</v>
      </c>
      <c r="H61" s="275">
        <v>0</v>
      </c>
      <c r="I61" s="275">
        <v>0</v>
      </c>
      <c r="J61" s="275">
        <v>0</v>
      </c>
      <c r="K61" s="275">
        <v>0</v>
      </c>
      <c r="L61" s="194">
        <v>0</v>
      </c>
      <c r="M61" s="224">
        <v>0</v>
      </c>
      <c r="N61" s="224">
        <v>0</v>
      </c>
      <c r="O61" s="224">
        <v>0</v>
      </c>
      <c r="P61" s="275">
        <v>0</v>
      </c>
      <c r="Q61" s="275">
        <v>0</v>
      </c>
      <c r="R61" s="194">
        <v>0</v>
      </c>
      <c r="S61" s="224">
        <v>0</v>
      </c>
      <c r="T61" s="224">
        <v>0</v>
      </c>
      <c r="U61" s="190">
        <v>0</v>
      </c>
      <c r="V61" s="190">
        <v>0</v>
      </c>
    </row>
    <row r="62" spans="1:22" s="47" customFormat="1" x14ac:dyDescent="0.3">
      <c r="A62" s="98">
        <v>6</v>
      </c>
      <c r="B62" s="151" t="str">
        <f t="shared" si="4"/>
        <v>Hywel Dda UHB, Glangwilli Hospital</v>
      </c>
      <c r="C62" s="98"/>
      <c r="D62" s="98"/>
      <c r="E62" s="51"/>
      <c r="F62" s="38"/>
      <c r="G62" s="221" t="s">
        <v>155</v>
      </c>
      <c r="H62" s="221" t="s">
        <v>155</v>
      </c>
      <c r="I62" s="221" t="s">
        <v>155</v>
      </c>
      <c r="J62" s="221" t="s">
        <v>155</v>
      </c>
      <c r="K62" s="221" t="s">
        <v>155</v>
      </c>
      <c r="L62" s="194" t="s">
        <v>155</v>
      </c>
      <c r="M62" s="222" t="s">
        <v>155</v>
      </c>
      <c r="N62" s="222" t="s">
        <v>155</v>
      </c>
      <c r="O62" s="222" t="s">
        <v>155</v>
      </c>
      <c r="P62" s="221" t="s">
        <v>155</v>
      </c>
      <c r="Q62" s="221" t="s">
        <v>155</v>
      </c>
      <c r="R62" s="194" t="s">
        <v>155</v>
      </c>
      <c r="S62" s="222" t="s">
        <v>155</v>
      </c>
      <c r="T62" s="222" t="s">
        <v>155</v>
      </c>
      <c r="U62" s="190" t="s">
        <v>155</v>
      </c>
      <c r="V62" s="190" t="s">
        <v>155</v>
      </c>
    </row>
    <row r="63" spans="1:22" s="47" customFormat="1" x14ac:dyDescent="0.3">
      <c r="A63" s="98">
        <v>7</v>
      </c>
      <c r="B63" s="151" t="str">
        <f t="shared" si="4"/>
        <v>Hywel Dda UHB, Withybush Hospital</v>
      </c>
      <c r="C63" s="275" t="s">
        <v>202</v>
      </c>
      <c r="D63" s="275">
        <v>2022</v>
      </c>
      <c r="E63" s="51" t="s">
        <v>166</v>
      </c>
      <c r="F63" s="38" t="s">
        <v>11</v>
      </c>
      <c r="G63" s="275">
        <v>0</v>
      </c>
      <c r="H63" s="275">
        <v>0</v>
      </c>
      <c r="I63" s="275">
        <v>4</v>
      </c>
      <c r="J63" s="275">
        <v>2</v>
      </c>
      <c r="K63" s="275">
        <v>0</v>
      </c>
      <c r="L63" s="194">
        <v>3</v>
      </c>
      <c r="M63" s="224">
        <v>9</v>
      </c>
      <c r="N63" s="224">
        <v>5</v>
      </c>
      <c r="O63" s="224">
        <v>0</v>
      </c>
      <c r="P63" s="275">
        <v>0</v>
      </c>
      <c r="Q63" s="275">
        <v>0</v>
      </c>
      <c r="R63" s="194">
        <v>0</v>
      </c>
      <c r="S63" s="224">
        <v>0</v>
      </c>
      <c r="T63" s="224">
        <v>0</v>
      </c>
      <c r="U63" s="190">
        <v>0</v>
      </c>
      <c r="V63" s="190">
        <v>0</v>
      </c>
    </row>
    <row r="64" spans="1:22" s="47" customFormat="1" x14ac:dyDescent="0.3">
      <c r="A64" s="98">
        <v>8</v>
      </c>
      <c r="B64" s="151" t="str">
        <f t="shared" si="4"/>
        <v>Swansea Bay UHB, Morriston / Singleton Hospitals</v>
      </c>
      <c r="C64" s="275" t="s">
        <v>202</v>
      </c>
      <c r="D64" s="275">
        <v>2022</v>
      </c>
      <c r="E64" s="51" t="s">
        <v>162</v>
      </c>
      <c r="F64" s="38" t="s">
        <v>11</v>
      </c>
      <c r="G64" s="275">
        <v>3</v>
      </c>
      <c r="H64" s="275">
        <v>0</v>
      </c>
      <c r="I64" s="275">
        <v>26</v>
      </c>
      <c r="J64" s="275">
        <v>23</v>
      </c>
      <c r="K64" s="275">
        <v>29</v>
      </c>
      <c r="L64" s="194">
        <v>55</v>
      </c>
      <c r="M64" s="224">
        <v>133</v>
      </c>
      <c r="N64" s="224">
        <v>107</v>
      </c>
      <c r="O64" s="224">
        <v>0</v>
      </c>
      <c r="P64" s="275">
        <v>0</v>
      </c>
      <c r="Q64" s="275">
        <v>0</v>
      </c>
      <c r="R64" s="194">
        <v>0</v>
      </c>
      <c r="S64" s="224">
        <v>0</v>
      </c>
      <c r="T64" s="224">
        <v>0</v>
      </c>
      <c r="U64" s="190">
        <v>0</v>
      </c>
      <c r="V64" s="190">
        <v>0</v>
      </c>
    </row>
    <row r="65" spans="1:22" s="47" customFormat="1" x14ac:dyDescent="0.3">
      <c r="A65" s="98">
        <v>9</v>
      </c>
      <c r="B65" s="151" t="str">
        <f t="shared" si="4"/>
        <v xml:space="preserve">Barnstaple, North Devon District Hospital </v>
      </c>
      <c r="C65" s="275" t="s">
        <v>202</v>
      </c>
      <c r="D65" s="275">
        <v>2022</v>
      </c>
      <c r="E65" s="51" t="s">
        <v>58</v>
      </c>
      <c r="F65" s="38" t="s">
        <v>11</v>
      </c>
      <c r="G65" s="275">
        <v>32</v>
      </c>
      <c r="H65" s="275">
        <v>32</v>
      </c>
      <c r="I65" s="275">
        <v>6</v>
      </c>
      <c r="J65" s="275">
        <v>18</v>
      </c>
      <c r="K65" s="275">
        <v>38</v>
      </c>
      <c r="L65" s="194">
        <v>8</v>
      </c>
      <c r="M65" s="224">
        <v>70</v>
      </c>
      <c r="N65" s="224">
        <v>64</v>
      </c>
      <c r="O65" s="224">
        <v>6</v>
      </c>
      <c r="P65" s="275">
        <v>18</v>
      </c>
      <c r="Q65" s="275">
        <v>38</v>
      </c>
      <c r="R65" s="194">
        <v>8</v>
      </c>
      <c r="S65" s="224">
        <v>70</v>
      </c>
      <c r="T65" s="224">
        <v>64</v>
      </c>
      <c r="U65" s="190">
        <v>0</v>
      </c>
      <c r="V65" s="190">
        <v>0</v>
      </c>
    </row>
    <row r="66" spans="1:22" s="47" customFormat="1" x14ac:dyDescent="0.3">
      <c r="A66" s="98">
        <v>10</v>
      </c>
      <c r="B66" s="151" t="str">
        <f t="shared" si="4"/>
        <v>Bristol, Bristol Heart Institute / Bristol Royal Hospital for Children</v>
      </c>
      <c r="C66" s="98" t="s">
        <v>202</v>
      </c>
      <c r="D66" s="98">
        <v>2022</v>
      </c>
      <c r="E66" s="51" t="s">
        <v>199</v>
      </c>
      <c r="F66" s="38" t="s">
        <v>11</v>
      </c>
      <c r="G66" s="221">
        <v>34</v>
      </c>
      <c r="H66" s="221">
        <v>0</v>
      </c>
      <c r="I66" s="221">
        <v>471</v>
      </c>
      <c r="J66" s="221">
        <v>334</v>
      </c>
      <c r="K66" s="221">
        <v>115</v>
      </c>
      <c r="L66" s="194">
        <v>15</v>
      </c>
      <c r="M66" s="222">
        <v>935</v>
      </c>
      <c r="N66" s="222">
        <v>464</v>
      </c>
      <c r="O66" s="222">
        <v>0</v>
      </c>
      <c r="P66" s="221">
        <v>0</v>
      </c>
      <c r="Q66" s="221">
        <v>0</v>
      </c>
      <c r="R66" s="194">
        <v>0</v>
      </c>
      <c r="S66" s="222">
        <v>0</v>
      </c>
      <c r="T66" s="222">
        <v>0</v>
      </c>
      <c r="U66" s="190">
        <v>0.23100000000000001</v>
      </c>
      <c r="V66" s="190">
        <v>0</v>
      </c>
    </row>
    <row r="67" spans="1:22" s="47" customFormat="1" x14ac:dyDescent="0.3">
      <c r="A67" s="98">
        <v>11</v>
      </c>
      <c r="B67" s="151" t="str">
        <f t="shared" si="4"/>
        <v xml:space="preserve">Exeter, Royal Devon and Exeter Hospital </v>
      </c>
      <c r="C67" s="98"/>
      <c r="D67" s="98"/>
      <c r="E67" s="51"/>
      <c r="F67" s="38"/>
      <c r="G67" s="221" t="s">
        <v>155</v>
      </c>
      <c r="H67" s="221" t="s">
        <v>155</v>
      </c>
      <c r="I67" s="221" t="s">
        <v>155</v>
      </c>
      <c r="J67" s="221" t="s">
        <v>155</v>
      </c>
      <c r="K67" s="221" t="s">
        <v>155</v>
      </c>
      <c r="L67" s="194" t="s">
        <v>155</v>
      </c>
      <c r="M67" s="222" t="s">
        <v>155</v>
      </c>
      <c r="N67" s="222" t="s">
        <v>155</v>
      </c>
      <c r="O67" s="222" t="s">
        <v>155</v>
      </c>
      <c r="P67" s="221" t="s">
        <v>155</v>
      </c>
      <c r="Q67" s="221" t="s">
        <v>155</v>
      </c>
      <c r="R67" s="194" t="s">
        <v>155</v>
      </c>
      <c r="S67" s="222" t="s">
        <v>155</v>
      </c>
      <c r="T67" s="222" t="s">
        <v>155</v>
      </c>
      <c r="U67" s="190" t="s">
        <v>155</v>
      </c>
      <c r="V67" s="190" t="s">
        <v>155</v>
      </c>
    </row>
    <row r="68" spans="1:22" s="47" customFormat="1" x14ac:dyDescent="0.3">
      <c r="A68" s="98">
        <v>12</v>
      </c>
      <c r="B68" s="151" t="str">
        <f t="shared" si="4"/>
        <v>Gloucester, Gloucestershire Hospitals</v>
      </c>
      <c r="C68" s="275" t="s">
        <v>202</v>
      </c>
      <c r="D68" s="275">
        <v>2022</v>
      </c>
      <c r="E68" s="51" t="s">
        <v>56</v>
      </c>
      <c r="F68" s="38" t="s">
        <v>11</v>
      </c>
      <c r="G68" s="275">
        <v>12</v>
      </c>
      <c r="H68" s="275">
        <v>12</v>
      </c>
      <c r="I68" s="275">
        <v>5</v>
      </c>
      <c r="J68" s="275">
        <v>8</v>
      </c>
      <c r="K68" s="275">
        <v>21</v>
      </c>
      <c r="L68" s="194">
        <v>41</v>
      </c>
      <c r="M68" s="224">
        <v>75</v>
      </c>
      <c r="N68" s="224">
        <v>70</v>
      </c>
      <c r="O68" s="224">
        <v>5</v>
      </c>
      <c r="P68" s="275">
        <v>8</v>
      </c>
      <c r="Q68" s="275">
        <v>21</v>
      </c>
      <c r="R68" s="194">
        <v>41</v>
      </c>
      <c r="S68" s="224">
        <v>75</v>
      </c>
      <c r="T68" s="224">
        <v>70</v>
      </c>
      <c r="U68" s="190">
        <v>0</v>
      </c>
      <c r="V68" s="190">
        <v>0</v>
      </c>
    </row>
    <row r="69" spans="1:22" s="47" customFormat="1" x14ac:dyDescent="0.3">
      <c r="A69" s="98">
        <v>13</v>
      </c>
      <c r="B69" s="151" t="str">
        <f t="shared" si="4"/>
        <v xml:space="preserve">Plymouth, Derriford Hospital </v>
      </c>
      <c r="C69" s="275" t="s">
        <v>202</v>
      </c>
      <c r="D69" s="275">
        <v>2022</v>
      </c>
      <c r="E69" s="51" t="s">
        <v>61</v>
      </c>
      <c r="F69" s="38" t="s">
        <v>11</v>
      </c>
      <c r="G69" s="275">
        <v>34</v>
      </c>
      <c r="H69" s="275">
        <v>0</v>
      </c>
      <c r="I69" s="275">
        <v>160</v>
      </c>
      <c r="J69" s="275">
        <v>133</v>
      </c>
      <c r="K69" s="275">
        <v>187</v>
      </c>
      <c r="L69" s="194">
        <v>153</v>
      </c>
      <c r="M69" s="224">
        <v>633</v>
      </c>
      <c r="N69" s="224">
        <v>473</v>
      </c>
      <c r="O69" s="224">
        <v>0</v>
      </c>
      <c r="P69" s="275">
        <v>0</v>
      </c>
      <c r="Q69" s="275">
        <v>0</v>
      </c>
      <c r="R69" s="194">
        <v>0</v>
      </c>
      <c r="S69" s="224">
        <v>0</v>
      </c>
      <c r="T69" s="224">
        <v>0</v>
      </c>
      <c r="U69" s="190">
        <v>0.04</v>
      </c>
      <c r="V69" s="190">
        <v>0</v>
      </c>
    </row>
    <row r="70" spans="1:22" s="47" customFormat="1" x14ac:dyDescent="0.3">
      <c r="A70" s="98">
        <v>14</v>
      </c>
      <c r="B70" s="151" t="str">
        <f t="shared" si="4"/>
        <v xml:space="preserve">Swindon, Great Weston Hospital </v>
      </c>
      <c r="C70" s="98"/>
      <c r="D70" s="98"/>
      <c r="E70" s="51"/>
      <c r="F70" s="38"/>
      <c r="G70" s="221" t="s">
        <v>155</v>
      </c>
      <c r="H70" s="221" t="s">
        <v>155</v>
      </c>
      <c r="I70" s="221" t="s">
        <v>155</v>
      </c>
      <c r="J70" s="221" t="s">
        <v>155</v>
      </c>
      <c r="K70" s="221" t="s">
        <v>155</v>
      </c>
      <c r="L70" s="194" t="s">
        <v>155</v>
      </c>
      <c r="M70" s="222" t="s">
        <v>155</v>
      </c>
      <c r="N70" s="222" t="s">
        <v>155</v>
      </c>
      <c r="O70" s="222" t="s">
        <v>155</v>
      </c>
      <c r="P70" s="221" t="s">
        <v>155</v>
      </c>
      <c r="Q70" s="221" t="s">
        <v>155</v>
      </c>
      <c r="R70" s="194" t="s">
        <v>155</v>
      </c>
      <c r="S70" s="222" t="s">
        <v>155</v>
      </c>
      <c r="T70" s="222" t="s">
        <v>155</v>
      </c>
      <c r="U70" s="190" t="s">
        <v>155</v>
      </c>
      <c r="V70" s="190" t="s">
        <v>155</v>
      </c>
    </row>
    <row r="71" spans="1:22" s="47" customFormat="1" x14ac:dyDescent="0.3">
      <c r="A71" s="98">
        <v>15</v>
      </c>
      <c r="B71" s="151" t="str">
        <f t="shared" si="4"/>
        <v xml:space="preserve">Taunton, Musgrove Park Hospital </v>
      </c>
      <c r="C71" s="275" t="s">
        <v>202</v>
      </c>
      <c r="D71" s="275">
        <v>2022</v>
      </c>
      <c r="E71" s="51" t="s">
        <v>57</v>
      </c>
      <c r="F71" s="38" t="s">
        <v>11</v>
      </c>
      <c r="G71" s="275">
        <v>2</v>
      </c>
      <c r="H71" s="275">
        <v>8</v>
      </c>
      <c r="I71" s="275">
        <v>24</v>
      </c>
      <c r="J71" s="275">
        <v>0</v>
      </c>
      <c r="K71" s="275">
        <v>0</v>
      </c>
      <c r="L71" s="194">
        <v>0</v>
      </c>
      <c r="M71" s="224">
        <v>24</v>
      </c>
      <c r="N71" s="224">
        <v>0</v>
      </c>
      <c r="O71" s="224">
        <v>10</v>
      </c>
      <c r="P71" s="275">
        <v>7</v>
      </c>
      <c r="Q71" s="275">
        <v>0</v>
      </c>
      <c r="R71" s="194">
        <v>0</v>
      </c>
      <c r="S71" s="224">
        <v>17</v>
      </c>
      <c r="T71" s="224">
        <v>7</v>
      </c>
      <c r="U71" s="190">
        <v>0</v>
      </c>
      <c r="V71" s="190">
        <v>0</v>
      </c>
    </row>
    <row r="72" spans="1:22" s="47" customFormat="1" x14ac:dyDescent="0.3">
      <c r="A72" s="98">
        <v>16</v>
      </c>
      <c r="B72" s="151" t="str">
        <f t="shared" si="4"/>
        <v xml:space="preserve">Torquay, Torbay General District Hospital </v>
      </c>
      <c r="C72" s="275" t="s">
        <v>202</v>
      </c>
      <c r="D72" s="275">
        <v>2022</v>
      </c>
      <c r="E72" s="51" t="s">
        <v>54</v>
      </c>
      <c r="F72" s="38" t="s">
        <v>11</v>
      </c>
      <c r="G72" s="275">
        <v>5</v>
      </c>
      <c r="H72" s="275">
        <v>0</v>
      </c>
      <c r="I72" s="275">
        <v>6</v>
      </c>
      <c r="J72" s="275">
        <v>0</v>
      </c>
      <c r="K72" s="275">
        <v>0</v>
      </c>
      <c r="L72" s="194">
        <v>0</v>
      </c>
      <c r="M72" s="224">
        <v>6</v>
      </c>
      <c r="N72" s="224">
        <v>0</v>
      </c>
      <c r="O72" s="224">
        <v>4</v>
      </c>
      <c r="P72" s="275">
        <v>8</v>
      </c>
      <c r="Q72" s="275">
        <v>2</v>
      </c>
      <c r="R72" s="194">
        <v>1</v>
      </c>
      <c r="S72" s="224">
        <v>15</v>
      </c>
      <c r="T72" s="224">
        <v>11</v>
      </c>
      <c r="U72" s="190">
        <v>0.04</v>
      </c>
      <c r="V72" s="190">
        <v>0.09</v>
      </c>
    </row>
    <row r="73" spans="1:22" s="47" customFormat="1" x14ac:dyDescent="0.3">
      <c r="A73" s="98">
        <v>17</v>
      </c>
      <c r="B73" s="154" t="str">
        <f t="shared" si="4"/>
        <v xml:space="preserve">Truro, Royal Cornwall Hospital </v>
      </c>
      <c r="C73" s="98"/>
      <c r="D73" s="98"/>
      <c r="E73" s="51"/>
      <c r="F73" s="38"/>
      <c r="G73" s="221" t="s">
        <v>155</v>
      </c>
      <c r="H73" s="221" t="s">
        <v>155</v>
      </c>
      <c r="I73" s="221" t="s">
        <v>155</v>
      </c>
      <c r="J73" s="221" t="s">
        <v>155</v>
      </c>
      <c r="K73" s="221" t="s">
        <v>155</v>
      </c>
      <c r="L73" s="194" t="s">
        <v>155</v>
      </c>
      <c r="M73" s="222" t="s">
        <v>155</v>
      </c>
      <c r="N73" s="222" t="s">
        <v>155</v>
      </c>
      <c r="O73" s="222" t="s">
        <v>155</v>
      </c>
      <c r="P73" s="221" t="s">
        <v>155</v>
      </c>
      <c r="Q73" s="221" t="s">
        <v>155</v>
      </c>
      <c r="R73" s="194" t="s">
        <v>155</v>
      </c>
      <c r="S73" s="222" t="s">
        <v>155</v>
      </c>
      <c r="T73" s="222" t="s">
        <v>155</v>
      </c>
      <c r="U73" s="190" t="s">
        <v>155</v>
      </c>
      <c r="V73" s="190" t="s">
        <v>155</v>
      </c>
    </row>
    <row r="74" spans="1:22" s="47" customFormat="1" x14ac:dyDescent="0.3">
      <c r="B74" s="98"/>
      <c r="D74" s="98"/>
      <c r="E74" s="235">
        <f t="shared" ref="E74:V74" ca="1" si="5">OFFSET(E57,AdultChoice-1,0)</f>
        <v>0</v>
      </c>
      <c r="F74" s="236">
        <f t="shared" ca="1" si="5"/>
        <v>0</v>
      </c>
      <c r="G74" s="50" t="str">
        <f t="shared" ca="1" si="5"/>
        <v>No data</v>
      </c>
      <c r="H74" s="50" t="str">
        <f t="shared" ca="1" si="5"/>
        <v>No data</v>
      </c>
      <c r="I74" s="50" t="str">
        <f t="shared" ca="1" si="5"/>
        <v>No data</v>
      </c>
      <c r="J74" s="50" t="str">
        <f t="shared" ca="1" si="5"/>
        <v>No data</v>
      </c>
      <c r="K74" s="50" t="str">
        <f t="shared" ca="1" si="5"/>
        <v>No data</v>
      </c>
      <c r="L74" s="50" t="str">
        <f t="shared" ca="1" si="5"/>
        <v>No data</v>
      </c>
      <c r="M74" s="50" t="str">
        <f t="shared" ca="1" si="5"/>
        <v>No data</v>
      </c>
      <c r="N74" s="50" t="str">
        <f t="shared" ca="1" si="5"/>
        <v>No data</v>
      </c>
      <c r="O74" s="50" t="str">
        <f t="shared" ca="1" si="5"/>
        <v>No data</v>
      </c>
      <c r="P74" s="50" t="str">
        <f t="shared" ca="1" si="5"/>
        <v>No data</v>
      </c>
      <c r="Q74" s="50" t="str">
        <f t="shared" ca="1" si="5"/>
        <v>No data</v>
      </c>
      <c r="R74" s="50" t="str">
        <f t="shared" ca="1" si="5"/>
        <v>No data</v>
      </c>
      <c r="S74" s="50" t="str">
        <f t="shared" ca="1" si="5"/>
        <v>No data</v>
      </c>
      <c r="T74" s="50" t="str">
        <f t="shared" ca="1" si="5"/>
        <v>No data</v>
      </c>
      <c r="U74" s="112" t="str">
        <f t="shared" ca="1" si="5"/>
        <v>No data</v>
      </c>
      <c r="V74" s="112" t="str">
        <f t="shared" ca="1" si="5"/>
        <v>No data</v>
      </c>
    </row>
    <row r="75" spans="1:22" s="49" customFormat="1" x14ac:dyDescent="0.3">
      <c r="B75" s="97"/>
      <c r="D75" s="97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</row>
    <row r="76" spans="1:22" s="36" customFormat="1" ht="21" x14ac:dyDescent="0.3">
      <c r="A76" s="54" t="s">
        <v>64</v>
      </c>
      <c r="B76" s="54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</row>
    <row r="77" spans="1:22" s="49" customFormat="1" x14ac:dyDescent="0.3">
      <c r="A77" s="2"/>
      <c r="B77" s="2">
        <v>2</v>
      </c>
      <c r="C77" s="2">
        <v>3</v>
      </c>
      <c r="D77" s="2">
        <v>4</v>
      </c>
      <c r="E77" s="2">
        <v>5</v>
      </c>
      <c r="F77" s="2">
        <v>6</v>
      </c>
      <c r="G77" s="2">
        <v>7</v>
      </c>
      <c r="H77" s="2">
        <v>8</v>
      </c>
      <c r="I77" s="2">
        <v>9</v>
      </c>
      <c r="J77" s="2">
        <v>10</v>
      </c>
      <c r="K77" s="2">
        <v>11</v>
      </c>
      <c r="L77" s="2">
        <v>12</v>
      </c>
      <c r="M77" s="2">
        <v>13</v>
      </c>
      <c r="N77" s="2">
        <v>14</v>
      </c>
      <c r="O77" s="2">
        <v>15</v>
      </c>
      <c r="P77" s="2">
        <v>16</v>
      </c>
      <c r="Q77" s="2">
        <v>17</v>
      </c>
      <c r="R77" s="2">
        <v>18</v>
      </c>
      <c r="S77" s="2">
        <v>19</v>
      </c>
      <c r="T77" s="2">
        <v>20</v>
      </c>
      <c r="U77" s="2">
        <v>21</v>
      </c>
      <c r="V77" s="2">
        <v>22</v>
      </c>
    </row>
    <row r="78" spans="1:22" s="47" customFormat="1" x14ac:dyDescent="0.3">
      <c r="A78" s="98"/>
      <c r="B78" s="98"/>
      <c r="C78" s="413" t="s">
        <v>110</v>
      </c>
      <c r="D78" s="413" t="s">
        <v>111</v>
      </c>
      <c r="E78" s="413" t="s">
        <v>0</v>
      </c>
      <c r="F78" s="413" t="s">
        <v>112</v>
      </c>
      <c r="G78" s="413" t="s">
        <v>42</v>
      </c>
      <c r="H78" s="413"/>
      <c r="I78" s="413" t="s">
        <v>43</v>
      </c>
      <c r="J78" s="413"/>
      <c r="K78" s="413"/>
      <c r="L78" s="413"/>
      <c r="M78" s="413"/>
      <c r="N78" s="413"/>
      <c r="O78" s="413"/>
      <c r="P78" s="413"/>
      <c r="Q78" s="413"/>
      <c r="R78" s="413"/>
      <c r="S78" s="413"/>
      <c r="T78" s="413"/>
      <c r="U78" s="413" t="s">
        <v>41</v>
      </c>
      <c r="V78" s="413"/>
    </row>
    <row r="79" spans="1:22" s="47" customFormat="1" x14ac:dyDescent="0.3">
      <c r="A79" s="98"/>
      <c r="B79" s="98"/>
      <c r="C79" s="413"/>
      <c r="D79" s="413"/>
      <c r="E79" s="413"/>
      <c r="F79" s="413"/>
      <c r="G79" s="413" t="s">
        <v>1</v>
      </c>
      <c r="H79" s="413" t="s">
        <v>2</v>
      </c>
      <c r="I79" s="413" t="s">
        <v>1</v>
      </c>
      <c r="J79" s="413"/>
      <c r="K79" s="413"/>
      <c r="L79" s="413"/>
      <c r="M79" s="413"/>
      <c r="N79" s="413"/>
      <c r="O79" s="413" t="s">
        <v>40</v>
      </c>
      <c r="P79" s="413"/>
      <c r="Q79" s="413"/>
      <c r="R79" s="413"/>
      <c r="S79" s="413"/>
      <c r="T79" s="413"/>
      <c r="U79" s="413" t="s">
        <v>1</v>
      </c>
      <c r="V79" s="413" t="s">
        <v>40</v>
      </c>
    </row>
    <row r="80" spans="1:22" s="47" customFormat="1" ht="28.8" x14ac:dyDescent="0.3">
      <c r="A80" s="98"/>
      <c r="B80" s="98"/>
      <c r="C80" s="413"/>
      <c r="D80" s="413"/>
      <c r="E80" s="413"/>
      <c r="F80" s="413"/>
      <c r="G80" s="413"/>
      <c r="H80" s="413"/>
      <c r="I80" s="98" t="s">
        <v>113</v>
      </c>
      <c r="J80" s="98" t="s">
        <v>37</v>
      </c>
      <c r="K80" s="98" t="s">
        <v>38</v>
      </c>
      <c r="L80" s="37" t="s">
        <v>39</v>
      </c>
      <c r="M80" s="98" t="s">
        <v>114</v>
      </c>
      <c r="N80" s="98" t="s">
        <v>115</v>
      </c>
      <c r="O80" s="98" t="s">
        <v>113</v>
      </c>
      <c r="P80" s="98" t="s">
        <v>37</v>
      </c>
      <c r="Q80" s="98" t="s">
        <v>38</v>
      </c>
      <c r="R80" s="37" t="s">
        <v>39</v>
      </c>
      <c r="S80" s="98" t="s">
        <v>114</v>
      </c>
      <c r="T80" s="98" t="s">
        <v>116</v>
      </c>
      <c r="U80" s="413"/>
      <c r="V80" s="413"/>
    </row>
    <row r="81" spans="1:22" s="47" customFormat="1" x14ac:dyDescent="0.3">
      <c r="A81" s="98">
        <v>1</v>
      </c>
      <c r="B81" s="151" t="str">
        <f t="shared" ref="B81:B98" si="6">VLOOKUP(A81,PaedSites,2)</f>
        <v>Aneurin Bevan UHB, Nevill Hall &amp; Royal Gwent Hospitals</v>
      </c>
      <c r="C81" s="275" t="s">
        <v>202</v>
      </c>
      <c r="D81" s="275">
        <v>2022</v>
      </c>
      <c r="E81" s="51" t="s">
        <v>157</v>
      </c>
      <c r="F81" s="38" t="s">
        <v>12</v>
      </c>
      <c r="G81" s="275">
        <v>30</v>
      </c>
      <c r="H81" s="275">
        <v>12</v>
      </c>
      <c r="I81" s="275">
        <v>29</v>
      </c>
      <c r="J81" s="275">
        <v>31</v>
      </c>
      <c r="K81" s="275">
        <v>60</v>
      </c>
      <c r="L81" s="194">
        <v>55</v>
      </c>
      <c r="M81" s="224">
        <v>175</v>
      </c>
      <c r="N81" s="224">
        <v>146</v>
      </c>
      <c r="O81" s="224">
        <v>58</v>
      </c>
      <c r="P81" s="275">
        <v>34</v>
      </c>
      <c r="Q81" s="275">
        <v>140</v>
      </c>
      <c r="R81" s="194">
        <v>125</v>
      </c>
      <c r="S81" s="224">
        <v>357</v>
      </c>
      <c r="T81" s="224">
        <v>299</v>
      </c>
      <c r="U81" s="190">
        <v>0.13</v>
      </c>
      <c r="V81" s="190">
        <v>0.08</v>
      </c>
    </row>
    <row r="82" spans="1:22" s="47" customFormat="1" x14ac:dyDescent="0.3">
      <c r="A82" s="98">
        <v>2</v>
      </c>
      <c r="B82" s="151" t="str">
        <f t="shared" si="6"/>
        <v>Cardiff &amp; Vale UHB, Noah’s Ark / University Hospital Wales</v>
      </c>
      <c r="C82" s="275" t="s">
        <v>202</v>
      </c>
      <c r="D82" s="275">
        <v>2022</v>
      </c>
      <c r="E82" s="51" t="s">
        <v>158</v>
      </c>
      <c r="F82" s="38" t="s">
        <v>12</v>
      </c>
      <c r="G82" s="275">
        <v>17</v>
      </c>
      <c r="H82" s="275">
        <v>0</v>
      </c>
      <c r="I82" s="275">
        <v>140</v>
      </c>
      <c r="J82" s="275">
        <v>132</v>
      </c>
      <c r="K82" s="275">
        <v>280</v>
      </c>
      <c r="L82" s="194">
        <v>155</v>
      </c>
      <c r="M82" s="224">
        <v>707</v>
      </c>
      <c r="N82" s="224">
        <v>567</v>
      </c>
      <c r="O82" s="224">
        <v>0</v>
      </c>
      <c r="P82" s="275">
        <v>0</v>
      </c>
      <c r="Q82" s="275">
        <v>0</v>
      </c>
      <c r="R82" s="194">
        <v>0</v>
      </c>
      <c r="S82" s="224">
        <v>0</v>
      </c>
      <c r="T82" s="224">
        <v>0</v>
      </c>
      <c r="U82" s="190">
        <v>7.0000000000000007E-2</v>
      </c>
      <c r="V82" s="190">
        <v>0</v>
      </c>
    </row>
    <row r="83" spans="1:22" s="47" customFormat="1" x14ac:dyDescent="0.3">
      <c r="A83" s="98">
        <v>3</v>
      </c>
      <c r="B83" s="151" t="str">
        <f t="shared" si="6"/>
        <v>Cwm Taf Morgannwg UHB, Princess of Wales Hospital</v>
      </c>
      <c r="C83" s="275" t="s">
        <v>202</v>
      </c>
      <c r="D83" s="275">
        <v>2022</v>
      </c>
      <c r="E83" s="51" t="s">
        <v>159</v>
      </c>
      <c r="F83" s="38" t="s">
        <v>12</v>
      </c>
      <c r="G83" s="275">
        <v>0</v>
      </c>
      <c r="H83" s="275">
        <v>0</v>
      </c>
      <c r="I83" s="275">
        <v>16</v>
      </c>
      <c r="J83" s="275">
        <v>0</v>
      </c>
      <c r="K83" s="275">
        <v>0</v>
      </c>
      <c r="L83" s="194">
        <v>0</v>
      </c>
      <c r="M83" s="224">
        <v>16</v>
      </c>
      <c r="N83" s="224">
        <v>0</v>
      </c>
      <c r="O83" s="224">
        <v>0</v>
      </c>
      <c r="P83" s="275">
        <v>49</v>
      </c>
      <c r="Q83" s="275">
        <v>111</v>
      </c>
      <c r="R83" s="194">
        <v>28</v>
      </c>
      <c r="S83" s="224">
        <v>188</v>
      </c>
      <c r="T83" s="224">
        <v>188</v>
      </c>
      <c r="U83" s="190">
        <v>0.12</v>
      </c>
      <c r="V83" s="190">
        <v>0.05</v>
      </c>
    </row>
    <row r="84" spans="1:22" s="47" customFormat="1" x14ac:dyDescent="0.3">
      <c r="A84" s="98">
        <v>4</v>
      </c>
      <c r="B84" s="151" t="str">
        <f t="shared" si="6"/>
        <v xml:space="preserve">Cwm Taf Morgannwg UHB, Royal Glamorgan Hospital </v>
      </c>
      <c r="C84" s="275" t="s">
        <v>202</v>
      </c>
      <c r="D84" s="275">
        <v>2022</v>
      </c>
      <c r="E84" s="51" t="s">
        <v>160</v>
      </c>
      <c r="F84" s="38" t="s">
        <v>12</v>
      </c>
      <c r="G84" s="275">
        <v>13</v>
      </c>
      <c r="H84" s="275">
        <v>3</v>
      </c>
      <c r="I84" s="275">
        <v>1</v>
      </c>
      <c r="J84" s="275">
        <v>0</v>
      </c>
      <c r="K84" s="275">
        <v>0</v>
      </c>
      <c r="L84" s="194">
        <v>0</v>
      </c>
      <c r="M84" s="224">
        <v>1</v>
      </c>
      <c r="N84" s="224">
        <v>0</v>
      </c>
      <c r="O84" s="224">
        <v>1</v>
      </c>
      <c r="P84" s="275">
        <v>1</v>
      </c>
      <c r="Q84" s="275">
        <v>3</v>
      </c>
      <c r="R84" s="194">
        <v>6</v>
      </c>
      <c r="S84" s="224">
        <v>11</v>
      </c>
      <c r="T84" s="224">
        <v>10</v>
      </c>
      <c r="U84" s="190">
        <v>0.22</v>
      </c>
      <c r="V84" s="190">
        <v>0.37</v>
      </c>
    </row>
    <row r="85" spans="1:22" s="47" customFormat="1" x14ac:dyDescent="0.3">
      <c r="A85" s="98">
        <v>5</v>
      </c>
      <c r="B85" s="151" t="str">
        <f t="shared" si="6"/>
        <v>Cwm Taf Morgannwg UHB, Prince Charles Hospital</v>
      </c>
      <c r="C85" s="275" t="s">
        <v>202</v>
      </c>
      <c r="D85" s="275">
        <v>2022</v>
      </c>
      <c r="E85" s="51" t="s">
        <v>161</v>
      </c>
      <c r="F85" s="38" t="s">
        <v>12</v>
      </c>
      <c r="G85" s="275">
        <v>14</v>
      </c>
      <c r="H85" s="275">
        <v>14</v>
      </c>
      <c r="I85" s="275">
        <v>1</v>
      </c>
      <c r="J85" s="275">
        <v>1</v>
      </c>
      <c r="K85" s="275">
        <v>8</v>
      </c>
      <c r="L85" s="194">
        <v>0</v>
      </c>
      <c r="M85" s="224">
        <v>10</v>
      </c>
      <c r="N85" s="224">
        <v>9</v>
      </c>
      <c r="O85" s="224">
        <v>2</v>
      </c>
      <c r="P85" s="275">
        <v>1</v>
      </c>
      <c r="Q85" s="275">
        <v>5</v>
      </c>
      <c r="R85" s="194">
        <v>1</v>
      </c>
      <c r="S85" s="224">
        <v>9</v>
      </c>
      <c r="T85" s="224">
        <v>7</v>
      </c>
      <c r="U85" s="190">
        <v>0.21</v>
      </c>
      <c r="V85" s="190">
        <v>0.23</v>
      </c>
    </row>
    <row r="86" spans="1:22" s="47" customFormat="1" x14ac:dyDescent="0.3">
      <c r="A86" s="98">
        <v>6</v>
      </c>
      <c r="B86" s="151" t="str">
        <f t="shared" si="6"/>
        <v>Hywel Dda UHB, Glangwilli Hospital</v>
      </c>
      <c r="C86" s="275" t="s">
        <v>202</v>
      </c>
      <c r="D86" s="275">
        <v>2022</v>
      </c>
      <c r="E86" s="51" t="s">
        <v>165</v>
      </c>
      <c r="F86" s="38" t="s">
        <v>12</v>
      </c>
      <c r="G86" s="275">
        <v>4</v>
      </c>
      <c r="H86" s="275">
        <v>52</v>
      </c>
      <c r="I86" s="275">
        <v>0</v>
      </c>
      <c r="J86" s="275">
        <v>0</v>
      </c>
      <c r="K86" s="275">
        <v>0</v>
      </c>
      <c r="L86" s="194">
        <v>0</v>
      </c>
      <c r="M86" s="224">
        <v>0</v>
      </c>
      <c r="N86" s="224">
        <v>0</v>
      </c>
      <c r="O86" s="224">
        <v>19</v>
      </c>
      <c r="P86" s="275">
        <v>13</v>
      </c>
      <c r="Q86" s="275">
        <v>30</v>
      </c>
      <c r="R86" s="194">
        <v>0</v>
      </c>
      <c r="S86" s="224">
        <v>62</v>
      </c>
      <c r="T86" s="224">
        <v>43</v>
      </c>
      <c r="U86" s="190">
        <v>0</v>
      </c>
      <c r="V86" s="190">
        <v>0</v>
      </c>
    </row>
    <row r="87" spans="1:22" s="47" customFormat="1" x14ac:dyDescent="0.3">
      <c r="A87" s="98">
        <v>7</v>
      </c>
      <c r="B87" s="151" t="str">
        <f t="shared" si="6"/>
        <v>Hywel Dda UHB, Withybush Hospital</v>
      </c>
      <c r="C87" s="275" t="s">
        <v>202</v>
      </c>
      <c r="D87" s="275">
        <v>2022</v>
      </c>
      <c r="E87" s="51" t="s">
        <v>166</v>
      </c>
      <c r="F87" s="38" t="s">
        <v>12</v>
      </c>
      <c r="G87" s="275">
        <v>10</v>
      </c>
      <c r="H87" s="275">
        <v>20</v>
      </c>
      <c r="I87" s="275">
        <v>9</v>
      </c>
      <c r="J87" s="275">
        <v>1</v>
      </c>
      <c r="K87" s="275">
        <v>0</v>
      </c>
      <c r="L87" s="194">
        <v>0</v>
      </c>
      <c r="M87" s="224">
        <v>10</v>
      </c>
      <c r="N87" s="224">
        <v>1</v>
      </c>
      <c r="O87" s="224">
        <v>26</v>
      </c>
      <c r="P87" s="275">
        <v>18</v>
      </c>
      <c r="Q87" s="275">
        <v>6</v>
      </c>
      <c r="R87" s="194">
        <v>0</v>
      </c>
      <c r="S87" s="224">
        <v>50</v>
      </c>
      <c r="T87" s="224">
        <v>24</v>
      </c>
      <c r="U87" s="190">
        <v>0</v>
      </c>
      <c r="V87" s="190">
        <v>0</v>
      </c>
    </row>
    <row r="88" spans="1:22" x14ac:dyDescent="0.3">
      <c r="A88" s="98">
        <v>8</v>
      </c>
      <c r="B88" s="151" t="str">
        <f t="shared" si="6"/>
        <v>Swansea Bay UHB, Morriston / Singleton Hospitals</v>
      </c>
      <c r="C88" s="275" t="s">
        <v>202</v>
      </c>
      <c r="D88" s="275">
        <v>2022</v>
      </c>
      <c r="E88" s="51" t="s">
        <v>162</v>
      </c>
      <c r="F88" s="38" t="s">
        <v>12</v>
      </c>
      <c r="G88" s="275">
        <v>6.33</v>
      </c>
      <c r="H88" s="275">
        <v>9.2899999999999991</v>
      </c>
      <c r="I88" s="275">
        <v>24</v>
      </c>
      <c r="J88" s="275">
        <v>10</v>
      </c>
      <c r="K88" s="275">
        <v>2</v>
      </c>
      <c r="L88" s="194">
        <v>1</v>
      </c>
      <c r="M88" s="224">
        <v>37</v>
      </c>
      <c r="N88" s="224">
        <v>13</v>
      </c>
      <c r="O88" s="224">
        <v>26</v>
      </c>
      <c r="P88" s="275">
        <v>39</v>
      </c>
      <c r="Q88" s="275">
        <v>48</v>
      </c>
      <c r="R88" s="194">
        <v>0</v>
      </c>
      <c r="S88" s="224">
        <v>113</v>
      </c>
      <c r="T88" s="224">
        <v>87</v>
      </c>
      <c r="U88" s="190">
        <v>0.06</v>
      </c>
      <c r="V88" s="190">
        <v>0</v>
      </c>
    </row>
    <row r="89" spans="1:22" x14ac:dyDescent="0.3">
      <c r="A89" s="98">
        <v>9</v>
      </c>
      <c r="B89" s="151" t="str">
        <f t="shared" si="6"/>
        <v xml:space="preserve">Barnstaple, North Devon District Hospital </v>
      </c>
      <c r="C89" s="98"/>
      <c r="D89" s="98"/>
      <c r="E89" s="51"/>
      <c r="F89" s="38"/>
      <c r="G89" s="221" t="s">
        <v>155</v>
      </c>
      <c r="H89" s="221" t="s">
        <v>155</v>
      </c>
      <c r="I89" s="221" t="s">
        <v>155</v>
      </c>
      <c r="J89" s="221" t="s">
        <v>155</v>
      </c>
      <c r="K89" s="221" t="s">
        <v>155</v>
      </c>
      <c r="L89" s="194" t="s">
        <v>155</v>
      </c>
      <c r="M89" s="222" t="s">
        <v>155</v>
      </c>
      <c r="N89" s="222" t="s">
        <v>155</v>
      </c>
      <c r="O89" s="222" t="s">
        <v>155</v>
      </c>
      <c r="P89" s="221" t="s">
        <v>155</v>
      </c>
      <c r="Q89" s="221" t="s">
        <v>155</v>
      </c>
      <c r="R89" s="194" t="s">
        <v>155</v>
      </c>
      <c r="S89" s="222" t="s">
        <v>155</v>
      </c>
      <c r="T89" s="222" t="s">
        <v>155</v>
      </c>
      <c r="U89" s="190" t="s">
        <v>155</v>
      </c>
      <c r="V89" s="190" t="s">
        <v>155</v>
      </c>
    </row>
    <row r="90" spans="1:22" x14ac:dyDescent="0.3">
      <c r="A90" s="98">
        <v>10</v>
      </c>
      <c r="B90" s="151" t="str">
        <f t="shared" si="6"/>
        <v xml:space="preserve">Bath, Royal United Hospital </v>
      </c>
      <c r="C90" s="275" t="s">
        <v>202</v>
      </c>
      <c r="D90" s="275">
        <v>2022</v>
      </c>
      <c r="E90" s="51" t="s">
        <v>59</v>
      </c>
      <c r="F90" s="38" t="s">
        <v>12</v>
      </c>
      <c r="G90" s="275">
        <v>39</v>
      </c>
      <c r="H90" s="275">
        <v>6</v>
      </c>
      <c r="I90" s="275">
        <v>0</v>
      </c>
      <c r="J90" s="275">
        <v>0</v>
      </c>
      <c r="K90" s="275">
        <v>1</v>
      </c>
      <c r="L90" s="194">
        <v>0</v>
      </c>
      <c r="M90" s="224">
        <v>1</v>
      </c>
      <c r="N90" s="224">
        <v>1</v>
      </c>
      <c r="O90" s="224">
        <v>0</v>
      </c>
      <c r="P90" s="275">
        <v>0</v>
      </c>
      <c r="Q90" s="275">
        <v>0</v>
      </c>
      <c r="R90" s="194">
        <v>0</v>
      </c>
      <c r="S90" s="224">
        <v>0</v>
      </c>
      <c r="T90" s="224">
        <v>0</v>
      </c>
      <c r="U90" s="190">
        <v>0.05</v>
      </c>
      <c r="V90" s="190">
        <v>0.05</v>
      </c>
    </row>
    <row r="91" spans="1:22" x14ac:dyDescent="0.3">
      <c r="A91" s="98">
        <v>11</v>
      </c>
      <c r="B91" s="151" t="str">
        <f t="shared" si="6"/>
        <v>Bristol, Bristol Heart Institute / Bristol Royal Hospital for Children</v>
      </c>
      <c r="C91" s="275" t="s">
        <v>202</v>
      </c>
      <c r="D91" s="275">
        <v>2022</v>
      </c>
      <c r="E91" s="51" t="s">
        <v>201</v>
      </c>
      <c r="F91" s="38" t="s">
        <v>12</v>
      </c>
      <c r="G91" s="275">
        <v>70</v>
      </c>
      <c r="H91" s="275">
        <v>0</v>
      </c>
      <c r="I91" s="275">
        <v>303</v>
      </c>
      <c r="J91" s="275">
        <v>254</v>
      </c>
      <c r="K91" s="275">
        <v>423</v>
      </c>
      <c r="L91" s="194">
        <v>261</v>
      </c>
      <c r="M91" s="224">
        <v>1241</v>
      </c>
      <c r="N91" s="224">
        <v>938</v>
      </c>
      <c r="O91" s="224">
        <v>0</v>
      </c>
      <c r="P91" s="275">
        <v>0</v>
      </c>
      <c r="Q91" s="275">
        <v>0</v>
      </c>
      <c r="R91" s="194">
        <v>0</v>
      </c>
      <c r="S91" s="224">
        <v>0</v>
      </c>
      <c r="T91" s="224">
        <v>0</v>
      </c>
      <c r="U91" s="190">
        <v>0.09</v>
      </c>
      <c r="V91" s="190">
        <v>0</v>
      </c>
    </row>
    <row r="92" spans="1:22" x14ac:dyDescent="0.3">
      <c r="A92" s="98">
        <v>12</v>
      </c>
      <c r="B92" s="151" t="str">
        <f t="shared" si="6"/>
        <v xml:space="preserve">Exeter, Royal Devon and Exeter Hospital </v>
      </c>
      <c r="C92" s="275" t="s">
        <v>202</v>
      </c>
      <c r="D92" s="275">
        <v>2022</v>
      </c>
      <c r="E92" s="51" t="s">
        <v>60</v>
      </c>
      <c r="F92" s="38" t="s">
        <v>12</v>
      </c>
      <c r="G92" s="275">
        <v>19</v>
      </c>
      <c r="H92" s="275">
        <v>15</v>
      </c>
      <c r="I92" s="275">
        <v>55</v>
      </c>
      <c r="J92" s="275">
        <v>37</v>
      </c>
      <c r="K92" s="275">
        <v>64</v>
      </c>
      <c r="L92" s="194">
        <v>6</v>
      </c>
      <c r="M92" s="224">
        <v>162</v>
      </c>
      <c r="N92" s="224">
        <v>107</v>
      </c>
      <c r="O92" s="224">
        <v>29</v>
      </c>
      <c r="P92" s="275">
        <v>26</v>
      </c>
      <c r="Q92" s="275">
        <v>48</v>
      </c>
      <c r="R92" s="194">
        <v>18</v>
      </c>
      <c r="S92" s="224">
        <v>121</v>
      </c>
      <c r="T92" s="224">
        <v>92</v>
      </c>
      <c r="U92" s="190">
        <v>0.08</v>
      </c>
      <c r="V92" s="190">
        <v>0.05</v>
      </c>
    </row>
    <row r="93" spans="1:22" x14ac:dyDescent="0.3">
      <c r="A93" s="98">
        <v>13</v>
      </c>
      <c r="B93" s="151" t="str">
        <f t="shared" si="6"/>
        <v>Gloucester, Gloucestershire Hospitals</v>
      </c>
      <c r="C93" s="98"/>
      <c r="D93" s="98"/>
      <c r="E93" s="51"/>
      <c r="F93" s="38"/>
      <c r="G93" s="221" t="s">
        <v>155</v>
      </c>
      <c r="H93" s="221" t="s">
        <v>155</v>
      </c>
      <c r="I93" s="221" t="s">
        <v>155</v>
      </c>
      <c r="J93" s="221" t="s">
        <v>155</v>
      </c>
      <c r="K93" s="221" t="s">
        <v>155</v>
      </c>
      <c r="L93" s="194" t="s">
        <v>155</v>
      </c>
      <c r="M93" s="222" t="s">
        <v>155</v>
      </c>
      <c r="N93" s="222" t="s">
        <v>155</v>
      </c>
      <c r="O93" s="222" t="s">
        <v>155</v>
      </c>
      <c r="P93" s="221" t="s">
        <v>155</v>
      </c>
      <c r="Q93" s="221" t="s">
        <v>155</v>
      </c>
      <c r="R93" s="194" t="s">
        <v>155</v>
      </c>
      <c r="S93" s="222" t="s">
        <v>155</v>
      </c>
      <c r="T93" s="222" t="s">
        <v>155</v>
      </c>
      <c r="U93" s="190" t="s">
        <v>155</v>
      </c>
      <c r="V93" s="190" t="s">
        <v>155</v>
      </c>
    </row>
    <row r="94" spans="1:22" x14ac:dyDescent="0.3">
      <c r="A94" s="98">
        <v>14</v>
      </c>
      <c r="B94" s="151" t="str">
        <f t="shared" si="6"/>
        <v xml:space="preserve">Plymouth, Derriford Hospital </v>
      </c>
      <c r="C94" s="98"/>
      <c r="D94" s="98"/>
      <c r="E94" s="51"/>
      <c r="F94" s="38"/>
      <c r="G94" s="221" t="s">
        <v>155</v>
      </c>
      <c r="H94" s="221" t="s">
        <v>155</v>
      </c>
      <c r="I94" s="221" t="s">
        <v>155</v>
      </c>
      <c r="J94" s="221" t="s">
        <v>155</v>
      </c>
      <c r="K94" s="221" t="s">
        <v>155</v>
      </c>
      <c r="L94" s="194" t="s">
        <v>155</v>
      </c>
      <c r="M94" s="222" t="s">
        <v>155</v>
      </c>
      <c r="N94" s="222" t="s">
        <v>155</v>
      </c>
      <c r="O94" s="222" t="s">
        <v>155</v>
      </c>
      <c r="P94" s="221" t="s">
        <v>155</v>
      </c>
      <c r="Q94" s="221" t="s">
        <v>155</v>
      </c>
      <c r="R94" s="194" t="s">
        <v>155</v>
      </c>
      <c r="S94" s="222" t="s">
        <v>155</v>
      </c>
      <c r="T94" s="222" t="s">
        <v>155</v>
      </c>
      <c r="U94" s="190" t="s">
        <v>155</v>
      </c>
      <c r="V94" s="190" t="s">
        <v>155</v>
      </c>
    </row>
    <row r="95" spans="1:22" x14ac:dyDescent="0.3">
      <c r="A95" s="98">
        <v>15</v>
      </c>
      <c r="B95" s="151" t="str">
        <f t="shared" si="6"/>
        <v xml:space="preserve">Swindon, Great Weston Hospital </v>
      </c>
      <c r="C95" s="275" t="s">
        <v>202</v>
      </c>
      <c r="D95" s="275">
        <v>2022</v>
      </c>
      <c r="E95" s="51" t="s">
        <v>52</v>
      </c>
      <c r="F95" s="38" t="s">
        <v>12</v>
      </c>
      <c r="G95" s="275">
        <v>0</v>
      </c>
      <c r="H95" s="275">
        <v>0</v>
      </c>
      <c r="I95" s="275">
        <v>3</v>
      </c>
      <c r="J95" s="275">
        <v>0</v>
      </c>
      <c r="K95" s="275">
        <v>0</v>
      </c>
      <c r="L95" s="194">
        <v>0</v>
      </c>
      <c r="M95" s="224">
        <v>3</v>
      </c>
      <c r="N95" s="224">
        <v>0</v>
      </c>
      <c r="O95" s="224">
        <v>31</v>
      </c>
      <c r="P95" s="275">
        <v>36</v>
      </c>
      <c r="Q95" s="275">
        <v>0</v>
      </c>
      <c r="R95" s="194">
        <v>0</v>
      </c>
      <c r="S95" s="224">
        <v>67</v>
      </c>
      <c r="T95" s="224">
        <v>36</v>
      </c>
      <c r="U95" s="190">
        <v>0</v>
      </c>
      <c r="V95" s="190">
        <v>0</v>
      </c>
    </row>
    <row r="96" spans="1:22" x14ac:dyDescent="0.3">
      <c r="A96" s="98">
        <v>16</v>
      </c>
      <c r="B96" s="151" t="str">
        <f t="shared" si="6"/>
        <v xml:space="preserve">Taunton, Musgrove Park Hospital </v>
      </c>
      <c r="C96" s="275" t="s">
        <v>202</v>
      </c>
      <c r="D96" s="275">
        <v>2022</v>
      </c>
      <c r="E96" s="51" t="s">
        <v>57</v>
      </c>
      <c r="F96" s="38" t="s">
        <v>12</v>
      </c>
      <c r="G96" s="275">
        <v>46</v>
      </c>
      <c r="H96" s="275">
        <v>46</v>
      </c>
      <c r="I96" s="275">
        <v>37</v>
      </c>
      <c r="J96" s="275">
        <v>63</v>
      </c>
      <c r="K96" s="275">
        <v>0</v>
      </c>
      <c r="L96" s="194">
        <v>0</v>
      </c>
      <c r="M96" s="224">
        <v>100</v>
      </c>
      <c r="N96" s="224">
        <v>63</v>
      </c>
      <c r="O96" s="224">
        <v>22</v>
      </c>
      <c r="P96" s="275">
        <v>42</v>
      </c>
      <c r="Q96" s="275">
        <v>3</v>
      </c>
      <c r="R96" s="194">
        <v>0</v>
      </c>
      <c r="S96" s="224">
        <v>67</v>
      </c>
      <c r="T96" s="224">
        <v>45</v>
      </c>
      <c r="U96" s="190">
        <v>0.08</v>
      </c>
      <c r="V96" s="190">
        <v>7.0000000000000007E-2</v>
      </c>
    </row>
    <row r="97" spans="1:22" x14ac:dyDescent="0.3">
      <c r="A97" s="98">
        <v>17</v>
      </c>
      <c r="B97" s="151" t="str">
        <f t="shared" si="6"/>
        <v xml:space="preserve">Torquay, Torbay General District Hospital </v>
      </c>
      <c r="C97" s="275" t="s">
        <v>202</v>
      </c>
      <c r="D97" s="275">
        <v>2022</v>
      </c>
      <c r="E97" s="51" t="s">
        <v>54</v>
      </c>
      <c r="F97" s="38" t="s">
        <v>12</v>
      </c>
      <c r="G97" s="275">
        <v>4</v>
      </c>
      <c r="H97" s="275">
        <v>4</v>
      </c>
      <c r="I97" s="275">
        <v>59</v>
      </c>
      <c r="J97" s="275">
        <v>39</v>
      </c>
      <c r="K97" s="275">
        <v>32</v>
      </c>
      <c r="L97" s="194">
        <v>2</v>
      </c>
      <c r="M97" s="224">
        <v>132</v>
      </c>
      <c r="N97" s="224">
        <v>73</v>
      </c>
      <c r="O97" s="224">
        <v>20</v>
      </c>
      <c r="P97" s="275">
        <v>31</v>
      </c>
      <c r="Q97" s="275">
        <v>53</v>
      </c>
      <c r="R97" s="194">
        <v>42</v>
      </c>
      <c r="S97" s="224">
        <v>146</v>
      </c>
      <c r="T97" s="224">
        <v>126</v>
      </c>
      <c r="U97" s="190">
        <v>0</v>
      </c>
      <c r="V97" s="190">
        <v>0</v>
      </c>
    </row>
    <row r="98" spans="1:22" x14ac:dyDescent="0.3">
      <c r="A98" s="98">
        <v>18</v>
      </c>
      <c r="B98" s="154" t="str">
        <f t="shared" si="6"/>
        <v xml:space="preserve">Truro, Royal Cornwall Hospital </v>
      </c>
      <c r="C98" s="275" t="s">
        <v>202</v>
      </c>
      <c r="D98" s="275">
        <v>2022</v>
      </c>
      <c r="E98" s="51" t="s">
        <v>62</v>
      </c>
      <c r="F98" s="38" t="s">
        <v>12</v>
      </c>
      <c r="G98" s="275">
        <v>7</v>
      </c>
      <c r="H98" s="275">
        <v>10</v>
      </c>
      <c r="I98" s="275">
        <v>2</v>
      </c>
      <c r="J98" s="275">
        <v>0</v>
      </c>
      <c r="K98" s="275">
        <v>0</v>
      </c>
      <c r="L98" s="194">
        <v>0</v>
      </c>
      <c r="M98" s="224">
        <v>2</v>
      </c>
      <c r="N98" s="224">
        <v>0</v>
      </c>
      <c r="O98" s="224">
        <v>20</v>
      </c>
      <c r="P98" s="275">
        <v>6</v>
      </c>
      <c r="Q98" s="275">
        <v>5</v>
      </c>
      <c r="R98" s="194">
        <v>0</v>
      </c>
      <c r="S98" s="224">
        <v>31</v>
      </c>
      <c r="T98" s="224">
        <v>11</v>
      </c>
      <c r="U98" s="190">
        <v>0.1</v>
      </c>
      <c r="V98" s="190">
        <v>7.0000000000000007E-2</v>
      </c>
    </row>
    <row r="99" spans="1:22" x14ac:dyDescent="0.3">
      <c r="C99" s="48"/>
      <c r="D99" s="48"/>
      <c r="E99" s="6" t="str">
        <f t="shared" ref="E99:V99" ca="1" si="7">OFFSET(E81,PaedChoice-1,0)</f>
        <v xml:space="preserve">Truro, Royal Cornwall Hospital </v>
      </c>
      <c r="F99" s="6" t="str">
        <f t="shared" ca="1" si="7"/>
        <v xml:space="preserve">Paediatrics </v>
      </c>
      <c r="G99" s="5">
        <f t="shared" ca="1" si="7"/>
        <v>7</v>
      </c>
      <c r="H99" s="5">
        <f t="shared" ca="1" si="7"/>
        <v>10</v>
      </c>
      <c r="I99" s="5">
        <f t="shared" ca="1" si="7"/>
        <v>2</v>
      </c>
      <c r="J99" s="5">
        <f t="shared" ca="1" si="7"/>
        <v>0</v>
      </c>
      <c r="K99" s="5">
        <f t="shared" ca="1" si="7"/>
        <v>0</v>
      </c>
      <c r="L99" s="5">
        <f t="shared" ca="1" si="7"/>
        <v>0</v>
      </c>
      <c r="M99" s="5">
        <f t="shared" ca="1" si="7"/>
        <v>2</v>
      </c>
      <c r="N99" s="5">
        <f t="shared" ca="1" si="7"/>
        <v>0</v>
      </c>
      <c r="O99" s="5">
        <f t="shared" ca="1" si="7"/>
        <v>20</v>
      </c>
      <c r="P99" s="5">
        <f t="shared" ca="1" si="7"/>
        <v>6</v>
      </c>
      <c r="Q99" s="5">
        <f t="shared" ca="1" si="7"/>
        <v>5</v>
      </c>
      <c r="R99" s="5">
        <f t="shared" ca="1" si="7"/>
        <v>0</v>
      </c>
      <c r="S99" s="5">
        <f t="shared" ca="1" si="7"/>
        <v>31</v>
      </c>
      <c r="T99" s="5">
        <f t="shared" ca="1" si="7"/>
        <v>11</v>
      </c>
      <c r="U99" s="234">
        <f t="shared" ca="1" si="7"/>
        <v>0.1</v>
      </c>
      <c r="V99" s="234">
        <f t="shared" ca="1" si="7"/>
        <v>7.0000000000000007E-2</v>
      </c>
    </row>
    <row r="100" spans="1:22" s="36" customFormat="1" ht="21" x14ac:dyDescent="0.3"/>
    <row r="101" spans="1:22" s="7" customFormat="1" ht="21" x14ac:dyDescent="0.3">
      <c r="A101" s="7" t="s">
        <v>6</v>
      </c>
    </row>
    <row r="102" spans="1:22" s="36" customFormat="1" ht="21" x14ac:dyDescent="0.3">
      <c r="A102" s="53" t="s">
        <v>63</v>
      </c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</row>
    <row r="103" spans="1:22" x14ac:dyDescent="0.3">
      <c r="B103" s="2">
        <v>2</v>
      </c>
      <c r="C103" s="2">
        <v>3</v>
      </c>
      <c r="D103" s="2">
        <v>4</v>
      </c>
      <c r="E103" s="2">
        <v>5</v>
      </c>
      <c r="F103" s="2">
        <v>6</v>
      </c>
      <c r="G103" s="2">
        <v>7</v>
      </c>
      <c r="H103" s="2">
        <v>8</v>
      </c>
      <c r="I103" s="2">
        <v>9</v>
      </c>
      <c r="J103" s="2">
        <v>10</v>
      </c>
      <c r="K103" s="2">
        <v>11</v>
      </c>
      <c r="L103" s="2">
        <v>12</v>
      </c>
      <c r="M103" s="2">
        <v>13</v>
      </c>
      <c r="N103" s="2">
        <v>14</v>
      </c>
      <c r="O103" s="2">
        <v>15</v>
      </c>
      <c r="P103" s="2">
        <v>16</v>
      </c>
      <c r="Q103" s="2">
        <v>17</v>
      </c>
      <c r="R103" s="2">
        <v>18</v>
      </c>
      <c r="S103" s="2">
        <v>19</v>
      </c>
      <c r="T103" s="2">
        <v>20</v>
      </c>
      <c r="U103" s="2">
        <v>21</v>
      </c>
      <c r="V103" s="2">
        <v>22</v>
      </c>
    </row>
    <row r="104" spans="1:22" s="47" customFormat="1" x14ac:dyDescent="0.3">
      <c r="A104" s="98"/>
      <c r="B104" s="98"/>
      <c r="C104" s="413" t="s">
        <v>110</v>
      </c>
      <c r="D104" s="413" t="s">
        <v>111</v>
      </c>
      <c r="E104" s="413" t="s">
        <v>0</v>
      </c>
      <c r="F104" s="413" t="s">
        <v>112</v>
      </c>
      <c r="G104" s="413" t="s">
        <v>42</v>
      </c>
      <c r="H104" s="413"/>
      <c r="I104" s="413" t="s">
        <v>43</v>
      </c>
      <c r="J104" s="413"/>
      <c r="K104" s="413"/>
      <c r="L104" s="413"/>
      <c r="M104" s="413"/>
      <c r="N104" s="413"/>
      <c r="O104" s="413"/>
      <c r="P104" s="413"/>
      <c r="Q104" s="413"/>
      <c r="R104" s="413"/>
      <c r="S104" s="413"/>
      <c r="T104" s="413"/>
      <c r="U104" s="413" t="s">
        <v>41</v>
      </c>
      <c r="V104" s="413"/>
    </row>
    <row r="105" spans="1:22" s="47" customFormat="1" x14ac:dyDescent="0.3">
      <c r="A105" s="98"/>
      <c r="B105" s="98"/>
      <c r="C105" s="413"/>
      <c r="D105" s="413"/>
      <c r="E105" s="413"/>
      <c r="F105" s="413"/>
      <c r="G105" s="413" t="s">
        <v>1</v>
      </c>
      <c r="H105" s="413" t="s">
        <v>2</v>
      </c>
      <c r="I105" s="413" t="s">
        <v>1</v>
      </c>
      <c r="J105" s="413"/>
      <c r="K105" s="413"/>
      <c r="L105" s="413"/>
      <c r="M105" s="413"/>
      <c r="N105" s="413"/>
      <c r="O105" s="413" t="s">
        <v>40</v>
      </c>
      <c r="P105" s="413"/>
      <c r="Q105" s="413"/>
      <c r="R105" s="413"/>
      <c r="S105" s="413"/>
      <c r="T105" s="413"/>
      <c r="U105" s="413" t="s">
        <v>1</v>
      </c>
      <c r="V105" s="413" t="s">
        <v>40</v>
      </c>
    </row>
    <row r="106" spans="1:22" s="47" customFormat="1" ht="28.8" x14ac:dyDescent="0.3">
      <c r="A106" s="98"/>
      <c r="B106" s="98"/>
      <c r="C106" s="413"/>
      <c r="D106" s="413"/>
      <c r="E106" s="413"/>
      <c r="F106" s="413"/>
      <c r="G106" s="413"/>
      <c r="H106" s="413"/>
      <c r="I106" s="98" t="s">
        <v>113</v>
      </c>
      <c r="J106" s="98" t="s">
        <v>37</v>
      </c>
      <c r="K106" s="98" t="s">
        <v>38</v>
      </c>
      <c r="L106" s="37" t="s">
        <v>39</v>
      </c>
      <c r="M106" s="98" t="s">
        <v>114</v>
      </c>
      <c r="N106" s="98" t="s">
        <v>115</v>
      </c>
      <c r="O106" s="98" t="s">
        <v>113</v>
      </c>
      <c r="P106" s="98" t="s">
        <v>37</v>
      </c>
      <c r="Q106" s="98" t="s">
        <v>38</v>
      </c>
      <c r="R106" s="37" t="s">
        <v>39</v>
      </c>
      <c r="S106" s="98" t="s">
        <v>114</v>
      </c>
      <c r="T106" s="98" t="s">
        <v>116</v>
      </c>
      <c r="U106" s="413"/>
      <c r="V106" s="413"/>
    </row>
    <row r="107" spans="1:22" s="47" customFormat="1" x14ac:dyDescent="0.3">
      <c r="A107" s="98">
        <v>1</v>
      </c>
      <c r="B107" s="151" t="str">
        <f t="shared" ref="B107:B123" si="8">VLOOKUP(A107,AdultSites,2)</f>
        <v>Aneurin Bevan UHB, Nevill Hall &amp; Royal Gwent Hospitals</v>
      </c>
      <c r="C107" s="98"/>
      <c r="D107" s="98"/>
      <c r="E107" s="134"/>
      <c r="F107" s="38"/>
      <c r="G107" s="221" t="s">
        <v>155</v>
      </c>
      <c r="H107" s="221" t="s">
        <v>155</v>
      </c>
      <c r="I107" s="221" t="s">
        <v>155</v>
      </c>
      <c r="J107" s="221" t="s">
        <v>155</v>
      </c>
      <c r="K107" s="221" t="s">
        <v>155</v>
      </c>
      <c r="L107" s="194" t="s">
        <v>155</v>
      </c>
      <c r="M107" s="222" t="s">
        <v>155</v>
      </c>
      <c r="N107" s="222" t="s">
        <v>155</v>
      </c>
      <c r="O107" s="222" t="s">
        <v>155</v>
      </c>
      <c r="P107" s="221" t="s">
        <v>155</v>
      </c>
      <c r="Q107" s="221" t="s">
        <v>155</v>
      </c>
      <c r="R107" s="194" t="s">
        <v>155</v>
      </c>
      <c r="S107" s="222" t="s">
        <v>155</v>
      </c>
      <c r="T107" s="222" t="s">
        <v>155</v>
      </c>
      <c r="U107" s="190" t="s">
        <v>155</v>
      </c>
      <c r="V107" s="190" t="s">
        <v>155</v>
      </c>
    </row>
    <row r="108" spans="1:22" s="47" customFormat="1" x14ac:dyDescent="0.3">
      <c r="A108" s="98">
        <v>2</v>
      </c>
      <c r="B108" s="151" t="str">
        <f t="shared" si="8"/>
        <v>Cardiff &amp; Vale UHB, Noah’s Ark / University Hospital Wales</v>
      </c>
      <c r="C108" s="98"/>
      <c r="D108" s="98"/>
      <c r="E108" s="134"/>
      <c r="F108" s="38"/>
      <c r="G108" s="221" t="s">
        <v>155</v>
      </c>
      <c r="H108" s="221" t="s">
        <v>155</v>
      </c>
      <c r="I108" s="221" t="s">
        <v>155</v>
      </c>
      <c r="J108" s="221" t="s">
        <v>155</v>
      </c>
      <c r="K108" s="221" t="s">
        <v>155</v>
      </c>
      <c r="L108" s="194" t="s">
        <v>155</v>
      </c>
      <c r="M108" s="222" t="s">
        <v>155</v>
      </c>
      <c r="N108" s="222" t="s">
        <v>155</v>
      </c>
      <c r="O108" s="222" t="s">
        <v>155</v>
      </c>
      <c r="P108" s="221" t="s">
        <v>155</v>
      </c>
      <c r="Q108" s="221" t="s">
        <v>155</v>
      </c>
      <c r="R108" s="194" t="s">
        <v>155</v>
      </c>
      <c r="S108" s="222" t="s">
        <v>155</v>
      </c>
      <c r="T108" s="222" t="s">
        <v>155</v>
      </c>
      <c r="U108" s="190" t="s">
        <v>155</v>
      </c>
      <c r="V108" s="190" t="s">
        <v>155</v>
      </c>
    </row>
    <row r="109" spans="1:22" s="47" customFormat="1" x14ac:dyDescent="0.3">
      <c r="A109" s="98">
        <v>3</v>
      </c>
      <c r="B109" s="151" t="str">
        <f t="shared" si="8"/>
        <v>Cwm Taf Morgannwg UHB, Princess of Wales Hospital</v>
      </c>
      <c r="C109" s="98"/>
      <c r="D109" s="98"/>
      <c r="E109" s="134"/>
      <c r="F109" s="38"/>
      <c r="G109" s="221" t="s">
        <v>155</v>
      </c>
      <c r="H109" s="221" t="s">
        <v>155</v>
      </c>
      <c r="I109" s="221" t="s">
        <v>155</v>
      </c>
      <c r="J109" s="221" t="s">
        <v>155</v>
      </c>
      <c r="K109" s="221" t="s">
        <v>155</v>
      </c>
      <c r="L109" s="194" t="s">
        <v>155</v>
      </c>
      <c r="M109" s="222" t="s">
        <v>155</v>
      </c>
      <c r="N109" s="222" t="s">
        <v>155</v>
      </c>
      <c r="O109" s="222" t="s">
        <v>155</v>
      </c>
      <c r="P109" s="221" t="s">
        <v>155</v>
      </c>
      <c r="Q109" s="221" t="s">
        <v>155</v>
      </c>
      <c r="R109" s="194" t="s">
        <v>155</v>
      </c>
      <c r="S109" s="222" t="s">
        <v>155</v>
      </c>
      <c r="T109" s="222" t="s">
        <v>155</v>
      </c>
      <c r="U109" s="190" t="s">
        <v>155</v>
      </c>
      <c r="V109" s="190" t="s">
        <v>155</v>
      </c>
    </row>
    <row r="110" spans="1:22" s="47" customFormat="1" x14ac:dyDescent="0.3">
      <c r="A110" s="98">
        <v>4</v>
      </c>
      <c r="B110" s="151" t="str">
        <f t="shared" si="8"/>
        <v xml:space="preserve">Cwm Taf Morgannwg UHB, Royal Glamorgan Hospital </v>
      </c>
      <c r="C110" s="133"/>
      <c r="D110" s="133"/>
      <c r="E110" s="134"/>
      <c r="F110" s="38"/>
      <c r="G110" s="221" t="s">
        <v>155</v>
      </c>
      <c r="H110" s="221" t="s">
        <v>155</v>
      </c>
      <c r="I110" s="221" t="s">
        <v>155</v>
      </c>
      <c r="J110" s="221" t="s">
        <v>155</v>
      </c>
      <c r="K110" s="221" t="s">
        <v>155</v>
      </c>
      <c r="L110" s="194" t="s">
        <v>155</v>
      </c>
      <c r="M110" s="222" t="s">
        <v>155</v>
      </c>
      <c r="N110" s="222" t="s">
        <v>155</v>
      </c>
      <c r="O110" s="222" t="s">
        <v>155</v>
      </c>
      <c r="P110" s="221" t="s">
        <v>155</v>
      </c>
      <c r="Q110" s="221" t="s">
        <v>155</v>
      </c>
      <c r="R110" s="194" t="s">
        <v>155</v>
      </c>
      <c r="S110" s="222" t="s">
        <v>155</v>
      </c>
      <c r="T110" s="222" t="s">
        <v>155</v>
      </c>
      <c r="U110" s="190" t="s">
        <v>155</v>
      </c>
      <c r="V110" s="190" t="s">
        <v>155</v>
      </c>
    </row>
    <row r="111" spans="1:22" s="47" customFormat="1" x14ac:dyDescent="0.3">
      <c r="A111" s="98">
        <v>5</v>
      </c>
      <c r="B111" s="151" t="str">
        <f t="shared" si="8"/>
        <v>Cwm Taf Morgannwg UHB, Prince Charles Hospital</v>
      </c>
      <c r="C111" s="98"/>
      <c r="D111" s="98"/>
      <c r="E111" s="134"/>
      <c r="F111" s="38"/>
      <c r="G111" s="221" t="s">
        <v>155</v>
      </c>
      <c r="H111" s="221" t="s">
        <v>155</v>
      </c>
      <c r="I111" s="221" t="s">
        <v>155</v>
      </c>
      <c r="J111" s="221" t="s">
        <v>155</v>
      </c>
      <c r="K111" s="221" t="s">
        <v>155</v>
      </c>
      <c r="L111" s="194" t="s">
        <v>155</v>
      </c>
      <c r="M111" s="222" t="s">
        <v>155</v>
      </c>
      <c r="N111" s="222" t="s">
        <v>155</v>
      </c>
      <c r="O111" s="222" t="s">
        <v>155</v>
      </c>
      <c r="P111" s="221" t="s">
        <v>155</v>
      </c>
      <c r="Q111" s="221" t="s">
        <v>155</v>
      </c>
      <c r="R111" s="194" t="s">
        <v>155</v>
      </c>
      <c r="S111" s="222" t="s">
        <v>155</v>
      </c>
      <c r="T111" s="222" t="s">
        <v>155</v>
      </c>
      <c r="U111" s="190" t="s">
        <v>155</v>
      </c>
      <c r="V111" s="190" t="s">
        <v>155</v>
      </c>
    </row>
    <row r="112" spans="1:22" s="47" customFormat="1" x14ac:dyDescent="0.3">
      <c r="A112" s="98">
        <v>6</v>
      </c>
      <c r="B112" s="151" t="str">
        <f t="shared" si="8"/>
        <v>Hywel Dda UHB, Glangwilli Hospital</v>
      </c>
      <c r="C112" s="135"/>
      <c r="D112" s="135"/>
      <c r="E112" s="134"/>
      <c r="F112" s="38"/>
      <c r="G112" s="221" t="s">
        <v>155</v>
      </c>
      <c r="H112" s="221" t="s">
        <v>155</v>
      </c>
      <c r="I112" s="221" t="s">
        <v>155</v>
      </c>
      <c r="J112" s="221" t="s">
        <v>155</v>
      </c>
      <c r="K112" s="221" t="s">
        <v>155</v>
      </c>
      <c r="L112" s="194" t="s">
        <v>155</v>
      </c>
      <c r="M112" s="222" t="s">
        <v>155</v>
      </c>
      <c r="N112" s="222" t="s">
        <v>155</v>
      </c>
      <c r="O112" s="222" t="s">
        <v>155</v>
      </c>
      <c r="P112" s="221" t="s">
        <v>155</v>
      </c>
      <c r="Q112" s="221" t="s">
        <v>155</v>
      </c>
      <c r="R112" s="194" t="s">
        <v>155</v>
      </c>
      <c r="S112" s="222" t="s">
        <v>155</v>
      </c>
      <c r="T112" s="222" t="s">
        <v>155</v>
      </c>
      <c r="U112" s="190" t="s">
        <v>155</v>
      </c>
      <c r="V112" s="190" t="s">
        <v>155</v>
      </c>
    </row>
    <row r="113" spans="1:22" s="47" customFormat="1" x14ac:dyDescent="0.3">
      <c r="A113" s="98">
        <v>7</v>
      </c>
      <c r="B113" s="151" t="str">
        <f t="shared" si="8"/>
        <v>Hywel Dda UHB, Withybush Hospital</v>
      </c>
      <c r="C113" s="98"/>
      <c r="D113" s="98"/>
      <c r="E113" s="134"/>
      <c r="F113" s="38"/>
      <c r="G113" s="221" t="s">
        <v>155</v>
      </c>
      <c r="H113" s="221" t="s">
        <v>155</v>
      </c>
      <c r="I113" s="221" t="s">
        <v>155</v>
      </c>
      <c r="J113" s="221" t="s">
        <v>155</v>
      </c>
      <c r="K113" s="221" t="s">
        <v>155</v>
      </c>
      <c r="L113" s="194" t="s">
        <v>155</v>
      </c>
      <c r="M113" s="222" t="s">
        <v>155</v>
      </c>
      <c r="N113" s="222" t="s">
        <v>155</v>
      </c>
      <c r="O113" s="222" t="s">
        <v>155</v>
      </c>
      <c r="P113" s="221" t="s">
        <v>155</v>
      </c>
      <c r="Q113" s="221" t="s">
        <v>155</v>
      </c>
      <c r="R113" s="194" t="s">
        <v>155</v>
      </c>
      <c r="S113" s="222" t="s">
        <v>155</v>
      </c>
      <c r="T113" s="222" t="s">
        <v>155</v>
      </c>
      <c r="U113" s="190" t="s">
        <v>155</v>
      </c>
      <c r="V113" s="190" t="s">
        <v>155</v>
      </c>
    </row>
    <row r="114" spans="1:22" s="47" customFormat="1" x14ac:dyDescent="0.3">
      <c r="A114" s="98">
        <v>8</v>
      </c>
      <c r="B114" s="151" t="str">
        <f t="shared" si="8"/>
        <v>Swansea Bay UHB, Morriston / Singleton Hospitals</v>
      </c>
      <c r="C114" s="98"/>
      <c r="D114" s="98"/>
      <c r="E114" s="134"/>
      <c r="F114" s="38"/>
      <c r="G114" s="221" t="s">
        <v>155</v>
      </c>
      <c r="H114" s="221" t="s">
        <v>155</v>
      </c>
      <c r="I114" s="221" t="s">
        <v>155</v>
      </c>
      <c r="J114" s="221" t="s">
        <v>155</v>
      </c>
      <c r="K114" s="221" t="s">
        <v>155</v>
      </c>
      <c r="L114" s="194" t="s">
        <v>155</v>
      </c>
      <c r="M114" s="222" t="s">
        <v>155</v>
      </c>
      <c r="N114" s="222" t="s">
        <v>155</v>
      </c>
      <c r="O114" s="222" t="s">
        <v>155</v>
      </c>
      <c r="P114" s="221" t="s">
        <v>155</v>
      </c>
      <c r="Q114" s="221" t="s">
        <v>155</v>
      </c>
      <c r="R114" s="194" t="s">
        <v>155</v>
      </c>
      <c r="S114" s="222" t="s">
        <v>155</v>
      </c>
      <c r="T114" s="222" t="s">
        <v>155</v>
      </c>
      <c r="U114" s="190" t="s">
        <v>155</v>
      </c>
      <c r="V114" s="190" t="s">
        <v>155</v>
      </c>
    </row>
    <row r="115" spans="1:22" s="47" customFormat="1" x14ac:dyDescent="0.3">
      <c r="A115" s="98">
        <v>9</v>
      </c>
      <c r="B115" s="151" t="str">
        <f t="shared" si="8"/>
        <v xml:space="preserve">Barnstaple, North Devon District Hospital </v>
      </c>
      <c r="C115" s="98"/>
      <c r="D115" s="98"/>
      <c r="E115" s="134"/>
      <c r="F115" s="38"/>
      <c r="G115" s="221" t="s">
        <v>155</v>
      </c>
      <c r="H115" s="221" t="s">
        <v>155</v>
      </c>
      <c r="I115" s="221" t="s">
        <v>155</v>
      </c>
      <c r="J115" s="221" t="s">
        <v>155</v>
      </c>
      <c r="K115" s="221" t="s">
        <v>155</v>
      </c>
      <c r="L115" s="194" t="s">
        <v>155</v>
      </c>
      <c r="M115" s="222" t="s">
        <v>155</v>
      </c>
      <c r="N115" s="222" t="s">
        <v>155</v>
      </c>
      <c r="O115" s="222" t="s">
        <v>155</v>
      </c>
      <c r="P115" s="221" t="s">
        <v>155</v>
      </c>
      <c r="Q115" s="221" t="s">
        <v>155</v>
      </c>
      <c r="R115" s="194" t="s">
        <v>155</v>
      </c>
      <c r="S115" s="222" t="s">
        <v>155</v>
      </c>
      <c r="T115" s="222" t="s">
        <v>155</v>
      </c>
      <c r="U115" s="190" t="s">
        <v>155</v>
      </c>
      <c r="V115" s="190" t="s">
        <v>155</v>
      </c>
    </row>
    <row r="116" spans="1:22" s="47" customFormat="1" x14ac:dyDescent="0.3">
      <c r="A116" s="98">
        <v>10</v>
      </c>
      <c r="B116" s="151" t="str">
        <f t="shared" si="8"/>
        <v>Bristol, Bristol Heart Institute / Bristol Royal Hospital for Children</v>
      </c>
      <c r="C116" s="98"/>
      <c r="D116" s="98"/>
      <c r="E116" s="134"/>
      <c r="F116" s="38"/>
      <c r="G116" s="221" t="s">
        <v>155</v>
      </c>
      <c r="H116" s="221" t="s">
        <v>155</v>
      </c>
      <c r="I116" s="221" t="s">
        <v>155</v>
      </c>
      <c r="J116" s="221" t="s">
        <v>155</v>
      </c>
      <c r="K116" s="221" t="s">
        <v>155</v>
      </c>
      <c r="L116" s="194" t="s">
        <v>155</v>
      </c>
      <c r="M116" s="222" t="s">
        <v>155</v>
      </c>
      <c r="N116" s="222" t="s">
        <v>155</v>
      </c>
      <c r="O116" s="222" t="s">
        <v>155</v>
      </c>
      <c r="P116" s="221" t="s">
        <v>155</v>
      </c>
      <c r="Q116" s="221" t="s">
        <v>155</v>
      </c>
      <c r="R116" s="194" t="s">
        <v>155</v>
      </c>
      <c r="S116" s="222" t="s">
        <v>155</v>
      </c>
      <c r="T116" s="222" t="s">
        <v>155</v>
      </c>
      <c r="U116" s="190" t="s">
        <v>155</v>
      </c>
      <c r="V116" s="190" t="s">
        <v>155</v>
      </c>
    </row>
    <row r="117" spans="1:22" s="47" customFormat="1" x14ac:dyDescent="0.3">
      <c r="A117" s="98">
        <v>11</v>
      </c>
      <c r="B117" s="151" t="str">
        <f t="shared" si="8"/>
        <v xml:space="preserve">Exeter, Royal Devon and Exeter Hospital </v>
      </c>
      <c r="C117" s="98"/>
      <c r="D117" s="98"/>
      <c r="E117" s="134"/>
      <c r="F117" s="38"/>
      <c r="G117" s="221" t="s">
        <v>155</v>
      </c>
      <c r="H117" s="221" t="s">
        <v>155</v>
      </c>
      <c r="I117" s="221" t="s">
        <v>155</v>
      </c>
      <c r="J117" s="221" t="s">
        <v>155</v>
      </c>
      <c r="K117" s="221" t="s">
        <v>155</v>
      </c>
      <c r="L117" s="194" t="s">
        <v>155</v>
      </c>
      <c r="M117" s="222" t="s">
        <v>155</v>
      </c>
      <c r="N117" s="222" t="s">
        <v>155</v>
      </c>
      <c r="O117" s="222" t="s">
        <v>155</v>
      </c>
      <c r="P117" s="221" t="s">
        <v>155</v>
      </c>
      <c r="Q117" s="221" t="s">
        <v>155</v>
      </c>
      <c r="R117" s="194" t="s">
        <v>155</v>
      </c>
      <c r="S117" s="222" t="s">
        <v>155</v>
      </c>
      <c r="T117" s="222" t="s">
        <v>155</v>
      </c>
      <c r="U117" s="190" t="s">
        <v>155</v>
      </c>
      <c r="V117" s="190" t="s">
        <v>155</v>
      </c>
    </row>
    <row r="118" spans="1:22" s="47" customFormat="1" x14ac:dyDescent="0.3">
      <c r="A118" s="98">
        <v>12</v>
      </c>
      <c r="B118" s="151" t="str">
        <f t="shared" si="8"/>
        <v>Gloucester, Gloucestershire Hospitals</v>
      </c>
      <c r="C118" s="98"/>
      <c r="D118" s="98"/>
      <c r="E118" s="134"/>
      <c r="F118" s="38"/>
      <c r="G118" s="221" t="s">
        <v>155</v>
      </c>
      <c r="H118" s="221" t="s">
        <v>155</v>
      </c>
      <c r="I118" s="221" t="s">
        <v>155</v>
      </c>
      <c r="J118" s="221" t="s">
        <v>155</v>
      </c>
      <c r="K118" s="221" t="s">
        <v>155</v>
      </c>
      <c r="L118" s="194" t="s">
        <v>155</v>
      </c>
      <c r="M118" s="222" t="s">
        <v>155</v>
      </c>
      <c r="N118" s="222" t="s">
        <v>155</v>
      </c>
      <c r="O118" s="222" t="s">
        <v>155</v>
      </c>
      <c r="P118" s="221" t="s">
        <v>155</v>
      </c>
      <c r="Q118" s="221" t="s">
        <v>155</v>
      </c>
      <c r="R118" s="194" t="s">
        <v>155</v>
      </c>
      <c r="S118" s="222" t="s">
        <v>155</v>
      </c>
      <c r="T118" s="222" t="s">
        <v>155</v>
      </c>
      <c r="U118" s="190" t="s">
        <v>155</v>
      </c>
      <c r="V118" s="190" t="s">
        <v>155</v>
      </c>
    </row>
    <row r="119" spans="1:22" s="47" customFormat="1" x14ac:dyDescent="0.3">
      <c r="A119" s="98">
        <v>13</v>
      </c>
      <c r="B119" s="151" t="str">
        <f t="shared" si="8"/>
        <v xml:space="preserve">Plymouth, Derriford Hospital </v>
      </c>
      <c r="C119" s="98"/>
      <c r="D119" s="98"/>
      <c r="E119" s="134"/>
      <c r="F119" s="38"/>
      <c r="G119" s="221" t="s">
        <v>155</v>
      </c>
      <c r="H119" s="221" t="s">
        <v>155</v>
      </c>
      <c r="I119" s="221" t="s">
        <v>155</v>
      </c>
      <c r="J119" s="221" t="s">
        <v>155</v>
      </c>
      <c r="K119" s="221" t="s">
        <v>155</v>
      </c>
      <c r="L119" s="194" t="s">
        <v>155</v>
      </c>
      <c r="M119" s="222" t="s">
        <v>155</v>
      </c>
      <c r="N119" s="222" t="s">
        <v>155</v>
      </c>
      <c r="O119" s="222" t="s">
        <v>155</v>
      </c>
      <c r="P119" s="221" t="s">
        <v>155</v>
      </c>
      <c r="Q119" s="221" t="s">
        <v>155</v>
      </c>
      <c r="R119" s="194" t="s">
        <v>155</v>
      </c>
      <c r="S119" s="222" t="s">
        <v>155</v>
      </c>
      <c r="T119" s="222" t="s">
        <v>155</v>
      </c>
      <c r="U119" s="190" t="s">
        <v>155</v>
      </c>
      <c r="V119" s="190" t="s">
        <v>155</v>
      </c>
    </row>
    <row r="120" spans="1:22" s="47" customFormat="1" x14ac:dyDescent="0.3">
      <c r="A120" s="98">
        <v>14</v>
      </c>
      <c r="B120" s="151" t="str">
        <f t="shared" si="8"/>
        <v xml:space="preserve">Swindon, Great Weston Hospital </v>
      </c>
      <c r="C120" s="98"/>
      <c r="D120" s="98"/>
      <c r="E120" s="134"/>
      <c r="F120" s="38"/>
      <c r="G120" s="221" t="s">
        <v>155</v>
      </c>
      <c r="H120" s="221" t="s">
        <v>155</v>
      </c>
      <c r="I120" s="221" t="s">
        <v>155</v>
      </c>
      <c r="J120" s="221" t="s">
        <v>155</v>
      </c>
      <c r="K120" s="221" t="s">
        <v>155</v>
      </c>
      <c r="L120" s="194" t="s">
        <v>155</v>
      </c>
      <c r="M120" s="222" t="s">
        <v>155</v>
      </c>
      <c r="N120" s="222" t="s">
        <v>155</v>
      </c>
      <c r="O120" s="222" t="s">
        <v>155</v>
      </c>
      <c r="P120" s="221" t="s">
        <v>155</v>
      </c>
      <c r="Q120" s="221" t="s">
        <v>155</v>
      </c>
      <c r="R120" s="194" t="s">
        <v>155</v>
      </c>
      <c r="S120" s="222" t="s">
        <v>155</v>
      </c>
      <c r="T120" s="222" t="s">
        <v>155</v>
      </c>
      <c r="U120" s="190" t="s">
        <v>155</v>
      </c>
      <c r="V120" s="190" t="s">
        <v>155</v>
      </c>
    </row>
    <row r="121" spans="1:22" s="47" customFormat="1" x14ac:dyDescent="0.3">
      <c r="A121" s="98">
        <v>15</v>
      </c>
      <c r="B121" s="151" t="str">
        <f t="shared" si="8"/>
        <v xml:space="preserve">Taunton, Musgrove Park Hospital </v>
      </c>
      <c r="C121" s="98"/>
      <c r="D121" s="98"/>
      <c r="E121" s="134"/>
      <c r="F121" s="38"/>
      <c r="G121" s="221" t="s">
        <v>155</v>
      </c>
      <c r="H121" s="221" t="s">
        <v>155</v>
      </c>
      <c r="I121" s="221" t="s">
        <v>155</v>
      </c>
      <c r="J121" s="221" t="s">
        <v>155</v>
      </c>
      <c r="K121" s="221" t="s">
        <v>155</v>
      </c>
      <c r="L121" s="194" t="s">
        <v>155</v>
      </c>
      <c r="M121" s="222" t="s">
        <v>155</v>
      </c>
      <c r="N121" s="222" t="s">
        <v>155</v>
      </c>
      <c r="O121" s="222" t="s">
        <v>155</v>
      </c>
      <c r="P121" s="221" t="s">
        <v>155</v>
      </c>
      <c r="Q121" s="221" t="s">
        <v>155</v>
      </c>
      <c r="R121" s="194" t="s">
        <v>155</v>
      </c>
      <c r="S121" s="222" t="s">
        <v>155</v>
      </c>
      <c r="T121" s="222" t="s">
        <v>155</v>
      </c>
      <c r="U121" s="190" t="s">
        <v>155</v>
      </c>
      <c r="V121" s="190" t="s">
        <v>155</v>
      </c>
    </row>
    <row r="122" spans="1:22" s="47" customFormat="1" x14ac:dyDescent="0.3">
      <c r="A122" s="98">
        <v>16</v>
      </c>
      <c r="B122" s="151" t="str">
        <f t="shared" si="8"/>
        <v xml:space="preserve">Torquay, Torbay General District Hospital </v>
      </c>
      <c r="C122" s="98"/>
      <c r="D122" s="98"/>
      <c r="E122" s="134"/>
      <c r="F122" s="38"/>
      <c r="G122" s="221" t="s">
        <v>155</v>
      </c>
      <c r="H122" s="221" t="s">
        <v>155</v>
      </c>
      <c r="I122" s="221" t="s">
        <v>155</v>
      </c>
      <c r="J122" s="221" t="s">
        <v>155</v>
      </c>
      <c r="K122" s="221" t="s">
        <v>155</v>
      </c>
      <c r="L122" s="194" t="s">
        <v>155</v>
      </c>
      <c r="M122" s="222" t="s">
        <v>155</v>
      </c>
      <c r="N122" s="222" t="s">
        <v>155</v>
      </c>
      <c r="O122" s="222" t="s">
        <v>155</v>
      </c>
      <c r="P122" s="221" t="s">
        <v>155</v>
      </c>
      <c r="Q122" s="221" t="s">
        <v>155</v>
      </c>
      <c r="R122" s="194" t="s">
        <v>155</v>
      </c>
      <c r="S122" s="222" t="s">
        <v>155</v>
      </c>
      <c r="T122" s="222" t="s">
        <v>155</v>
      </c>
      <c r="U122" s="190" t="s">
        <v>155</v>
      </c>
      <c r="V122" s="190" t="s">
        <v>155</v>
      </c>
    </row>
    <row r="123" spans="1:22" s="47" customFormat="1" x14ac:dyDescent="0.3">
      <c r="A123" s="98">
        <v>17</v>
      </c>
      <c r="B123" s="154" t="str">
        <f t="shared" si="8"/>
        <v xml:space="preserve">Truro, Royal Cornwall Hospital </v>
      </c>
      <c r="C123" s="98"/>
      <c r="D123" s="98"/>
      <c r="E123" s="134"/>
      <c r="F123" s="38"/>
      <c r="G123" s="221" t="s">
        <v>155</v>
      </c>
      <c r="H123" s="221" t="s">
        <v>155</v>
      </c>
      <c r="I123" s="221" t="s">
        <v>155</v>
      </c>
      <c r="J123" s="221" t="s">
        <v>155</v>
      </c>
      <c r="K123" s="221" t="s">
        <v>155</v>
      </c>
      <c r="L123" s="194" t="s">
        <v>155</v>
      </c>
      <c r="M123" s="222" t="s">
        <v>155</v>
      </c>
      <c r="N123" s="222" t="s">
        <v>155</v>
      </c>
      <c r="O123" s="222" t="s">
        <v>155</v>
      </c>
      <c r="P123" s="221" t="s">
        <v>155</v>
      </c>
      <c r="Q123" s="221" t="s">
        <v>155</v>
      </c>
      <c r="R123" s="194" t="s">
        <v>155</v>
      </c>
      <c r="S123" s="222" t="s">
        <v>155</v>
      </c>
      <c r="T123" s="222" t="s">
        <v>155</v>
      </c>
      <c r="U123" s="190" t="s">
        <v>155</v>
      </c>
      <c r="V123" s="190" t="s">
        <v>155</v>
      </c>
    </row>
    <row r="124" spans="1:22" s="47" customFormat="1" x14ac:dyDescent="0.3">
      <c r="B124" s="98"/>
      <c r="D124" s="98"/>
      <c r="E124" s="235">
        <f t="shared" ref="E124:V124" ca="1" si="9">OFFSET(E107,AdultChoice-1,0)</f>
        <v>0</v>
      </c>
      <c r="F124" s="236">
        <f t="shared" ca="1" si="9"/>
        <v>0</v>
      </c>
      <c r="G124" s="50" t="str">
        <f t="shared" ca="1" si="9"/>
        <v>No data</v>
      </c>
      <c r="H124" s="50" t="str">
        <f t="shared" ca="1" si="9"/>
        <v>No data</v>
      </c>
      <c r="I124" s="50" t="str">
        <f t="shared" ca="1" si="9"/>
        <v>No data</v>
      </c>
      <c r="J124" s="50" t="str">
        <f t="shared" ca="1" si="9"/>
        <v>No data</v>
      </c>
      <c r="K124" s="50" t="str">
        <f t="shared" ca="1" si="9"/>
        <v>No data</v>
      </c>
      <c r="L124" s="50" t="str">
        <f t="shared" ca="1" si="9"/>
        <v>No data</v>
      </c>
      <c r="M124" s="50" t="str">
        <f t="shared" ca="1" si="9"/>
        <v>No data</v>
      </c>
      <c r="N124" s="50" t="str">
        <f t="shared" ca="1" si="9"/>
        <v>No data</v>
      </c>
      <c r="O124" s="50" t="str">
        <f t="shared" ca="1" si="9"/>
        <v>No data</v>
      </c>
      <c r="P124" s="50" t="str">
        <f t="shared" ca="1" si="9"/>
        <v>No data</v>
      </c>
      <c r="Q124" s="50" t="str">
        <f t="shared" ca="1" si="9"/>
        <v>No data</v>
      </c>
      <c r="R124" s="50" t="str">
        <f t="shared" ca="1" si="9"/>
        <v>No data</v>
      </c>
      <c r="S124" s="50" t="str">
        <f t="shared" ca="1" si="9"/>
        <v>No data</v>
      </c>
      <c r="T124" s="50" t="str">
        <f t="shared" ca="1" si="9"/>
        <v>No data</v>
      </c>
      <c r="U124" s="112" t="str">
        <f t="shared" ca="1" si="9"/>
        <v>No data</v>
      </c>
      <c r="V124" s="112" t="str">
        <f t="shared" ca="1" si="9"/>
        <v>No data</v>
      </c>
    </row>
    <row r="125" spans="1:22" s="49" customFormat="1" x14ac:dyDescent="0.3">
      <c r="B125" s="97"/>
      <c r="D125" s="97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</row>
    <row r="126" spans="1:22" s="36" customFormat="1" ht="21" x14ac:dyDescent="0.3">
      <c r="A126" s="54" t="s">
        <v>64</v>
      </c>
      <c r="B126" s="54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</row>
    <row r="127" spans="1:22" s="49" customFormat="1" x14ac:dyDescent="0.3">
      <c r="A127" s="2"/>
      <c r="B127" s="2">
        <v>2</v>
      </c>
      <c r="C127" s="2">
        <v>3</v>
      </c>
      <c r="D127" s="2">
        <v>4</v>
      </c>
      <c r="E127" s="2">
        <v>5</v>
      </c>
      <c r="F127" s="2">
        <v>6</v>
      </c>
      <c r="G127" s="2">
        <v>7</v>
      </c>
      <c r="H127" s="2">
        <v>8</v>
      </c>
      <c r="I127" s="2">
        <v>9</v>
      </c>
      <c r="J127" s="2">
        <v>10</v>
      </c>
      <c r="K127" s="2">
        <v>11</v>
      </c>
      <c r="L127" s="2">
        <v>12</v>
      </c>
      <c r="M127" s="2">
        <v>13</v>
      </c>
      <c r="N127" s="2">
        <v>14</v>
      </c>
      <c r="O127" s="2">
        <v>15</v>
      </c>
      <c r="P127" s="2">
        <v>16</v>
      </c>
      <c r="Q127" s="2">
        <v>17</v>
      </c>
      <c r="R127" s="2">
        <v>18</v>
      </c>
      <c r="S127" s="2">
        <v>19</v>
      </c>
      <c r="T127" s="2">
        <v>20</v>
      </c>
      <c r="U127" s="2">
        <v>21</v>
      </c>
      <c r="V127" s="2">
        <v>22</v>
      </c>
    </row>
    <row r="128" spans="1:22" s="47" customFormat="1" x14ac:dyDescent="0.3">
      <c r="A128" s="98"/>
      <c r="B128" s="98"/>
      <c r="C128" s="413" t="s">
        <v>110</v>
      </c>
      <c r="D128" s="413" t="s">
        <v>111</v>
      </c>
      <c r="E128" s="413" t="s">
        <v>0</v>
      </c>
      <c r="F128" s="413" t="s">
        <v>112</v>
      </c>
      <c r="G128" s="413" t="s">
        <v>42</v>
      </c>
      <c r="H128" s="413"/>
      <c r="I128" s="413" t="s">
        <v>43</v>
      </c>
      <c r="J128" s="413"/>
      <c r="K128" s="413"/>
      <c r="L128" s="413"/>
      <c r="M128" s="413"/>
      <c r="N128" s="413"/>
      <c r="O128" s="413"/>
      <c r="P128" s="413"/>
      <c r="Q128" s="413"/>
      <c r="R128" s="413"/>
      <c r="S128" s="413"/>
      <c r="T128" s="413"/>
      <c r="U128" s="413" t="s">
        <v>41</v>
      </c>
      <c r="V128" s="413"/>
    </row>
    <row r="129" spans="1:22" s="47" customFormat="1" x14ac:dyDescent="0.3">
      <c r="A129" s="98"/>
      <c r="B129" s="98"/>
      <c r="C129" s="413"/>
      <c r="D129" s="413"/>
      <c r="E129" s="413"/>
      <c r="F129" s="413"/>
      <c r="G129" s="413" t="s">
        <v>1</v>
      </c>
      <c r="H129" s="413" t="s">
        <v>2</v>
      </c>
      <c r="I129" s="413" t="s">
        <v>1</v>
      </c>
      <c r="J129" s="413"/>
      <c r="K129" s="413"/>
      <c r="L129" s="413"/>
      <c r="M129" s="413"/>
      <c r="N129" s="413"/>
      <c r="O129" s="413" t="s">
        <v>40</v>
      </c>
      <c r="P129" s="413"/>
      <c r="Q129" s="413"/>
      <c r="R129" s="413"/>
      <c r="S129" s="413"/>
      <c r="T129" s="413"/>
      <c r="U129" s="413" t="s">
        <v>1</v>
      </c>
      <c r="V129" s="413" t="s">
        <v>40</v>
      </c>
    </row>
    <row r="130" spans="1:22" s="47" customFormat="1" ht="28.8" x14ac:dyDescent="0.3">
      <c r="A130" s="98"/>
      <c r="B130" s="98"/>
      <c r="C130" s="413"/>
      <c r="D130" s="413"/>
      <c r="E130" s="413"/>
      <c r="F130" s="413"/>
      <c r="G130" s="413"/>
      <c r="H130" s="413"/>
      <c r="I130" s="98" t="s">
        <v>113</v>
      </c>
      <c r="J130" s="98" t="s">
        <v>37</v>
      </c>
      <c r="K130" s="98" t="s">
        <v>38</v>
      </c>
      <c r="L130" s="37" t="s">
        <v>39</v>
      </c>
      <c r="M130" s="98" t="s">
        <v>114</v>
      </c>
      <c r="N130" s="98" t="s">
        <v>115</v>
      </c>
      <c r="O130" s="98" t="s">
        <v>113</v>
      </c>
      <c r="P130" s="98" t="s">
        <v>37</v>
      </c>
      <c r="Q130" s="98" t="s">
        <v>38</v>
      </c>
      <c r="R130" s="37" t="s">
        <v>39</v>
      </c>
      <c r="S130" s="98" t="s">
        <v>114</v>
      </c>
      <c r="T130" s="98" t="s">
        <v>116</v>
      </c>
      <c r="U130" s="413"/>
      <c r="V130" s="413"/>
    </row>
    <row r="131" spans="1:22" s="47" customFormat="1" x14ac:dyDescent="0.3">
      <c r="A131" s="98">
        <v>1</v>
      </c>
      <c r="B131" s="151" t="str">
        <f t="shared" ref="B131:B148" si="10">VLOOKUP(A131,PaedSites,2)</f>
        <v>Aneurin Bevan UHB, Nevill Hall &amp; Royal Gwent Hospitals</v>
      </c>
      <c r="C131" s="98"/>
      <c r="D131" s="98"/>
      <c r="E131" s="51"/>
      <c r="F131" s="38"/>
      <c r="G131" s="221" t="s">
        <v>155</v>
      </c>
      <c r="H131" s="221" t="s">
        <v>155</v>
      </c>
      <c r="I131" s="221" t="s">
        <v>155</v>
      </c>
      <c r="J131" s="221" t="s">
        <v>155</v>
      </c>
      <c r="K131" s="221" t="s">
        <v>155</v>
      </c>
      <c r="L131" s="194" t="s">
        <v>155</v>
      </c>
      <c r="M131" s="222" t="s">
        <v>155</v>
      </c>
      <c r="N131" s="222" t="s">
        <v>155</v>
      </c>
      <c r="O131" s="222" t="s">
        <v>155</v>
      </c>
      <c r="P131" s="221" t="s">
        <v>155</v>
      </c>
      <c r="Q131" s="221" t="s">
        <v>155</v>
      </c>
      <c r="R131" s="194" t="s">
        <v>155</v>
      </c>
      <c r="S131" s="222" t="s">
        <v>155</v>
      </c>
      <c r="T131" s="222" t="s">
        <v>155</v>
      </c>
      <c r="U131" s="190" t="s">
        <v>155</v>
      </c>
      <c r="V131" s="190" t="s">
        <v>155</v>
      </c>
    </row>
    <row r="132" spans="1:22" s="47" customFormat="1" x14ac:dyDescent="0.3">
      <c r="A132" s="98">
        <v>2</v>
      </c>
      <c r="B132" s="151" t="str">
        <f t="shared" si="10"/>
        <v>Cardiff &amp; Vale UHB, Noah’s Ark / University Hospital Wales</v>
      </c>
      <c r="C132" s="98"/>
      <c r="D132" s="98"/>
      <c r="E132" s="51"/>
      <c r="F132" s="38"/>
      <c r="G132" s="221" t="s">
        <v>155</v>
      </c>
      <c r="H132" s="221" t="s">
        <v>155</v>
      </c>
      <c r="I132" s="221" t="s">
        <v>155</v>
      </c>
      <c r="J132" s="221" t="s">
        <v>155</v>
      </c>
      <c r="K132" s="221" t="s">
        <v>155</v>
      </c>
      <c r="L132" s="194" t="s">
        <v>155</v>
      </c>
      <c r="M132" s="222" t="s">
        <v>155</v>
      </c>
      <c r="N132" s="222" t="s">
        <v>155</v>
      </c>
      <c r="O132" s="222" t="s">
        <v>155</v>
      </c>
      <c r="P132" s="221" t="s">
        <v>155</v>
      </c>
      <c r="Q132" s="221" t="s">
        <v>155</v>
      </c>
      <c r="R132" s="194" t="s">
        <v>155</v>
      </c>
      <c r="S132" s="222" t="s">
        <v>155</v>
      </c>
      <c r="T132" s="222" t="s">
        <v>155</v>
      </c>
      <c r="U132" s="190" t="s">
        <v>155</v>
      </c>
      <c r="V132" s="190" t="s">
        <v>155</v>
      </c>
    </row>
    <row r="133" spans="1:22" s="47" customFormat="1" x14ac:dyDescent="0.3">
      <c r="A133" s="98">
        <v>3</v>
      </c>
      <c r="B133" s="151" t="str">
        <f t="shared" si="10"/>
        <v>Cwm Taf Morgannwg UHB, Princess of Wales Hospital</v>
      </c>
      <c r="C133" s="98"/>
      <c r="D133" s="98"/>
      <c r="E133" s="134"/>
      <c r="F133" s="38"/>
      <c r="G133" s="221" t="s">
        <v>155</v>
      </c>
      <c r="H133" s="221" t="s">
        <v>155</v>
      </c>
      <c r="I133" s="221" t="s">
        <v>155</v>
      </c>
      <c r="J133" s="221" t="s">
        <v>155</v>
      </c>
      <c r="K133" s="221" t="s">
        <v>155</v>
      </c>
      <c r="L133" s="194" t="s">
        <v>155</v>
      </c>
      <c r="M133" s="222" t="s">
        <v>155</v>
      </c>
      <c r="N133" s="222" t="s">
        <v>155</v>
      </c>
      <c r="O133" s="222" t="s">
        <v>155</v>
      </c>
      <c r="P133" s="221" t="s">
        <v>155</v>
      </c>
      <c r="Q133" s="221" t="s">
        <v>155</v>
      </c>
      <c r="R133" s="194" t="s">
        <v>155</v>
      </c>
      <c r="S133" s="222" t="s">
        <v>155</v>
      </c>
      <c r="T133" s="222" t="s">
        <v>155</v>
      </c>
      <c r="U133" s="190" t="s">
        <v>155</v>
      </c>
      <c r="V133" s="190" t="s">
        <v>155</v>
      </c>
    </row>
    <row r="134" spans="1:22" s="47" customFormat="1" x14ac:dyDescent="0.3">
      <c r="A134" s="98">
        <v>4</v>
      </c>
      <c r="B134" s="151" t="str">
        <f t="shared" si="10"/>
        <v xml:space="preserve">Cwm Taf Morgannwg UHB, Royal Glamorgan Hospital </v>
      </c>
      <c r="C134" s="98"/>
      <c r="D134" s="98"/>
      <c r="E134" s="134"/>
      <c r="F134" s="38"/>
      <c r="G134" s="221" t="s">
        <v>155</v>
      </c>
      <c r="H134" s="221" t="s">
        <v>155</v>
      </c>
      <c r="I134" s="221" t="s">
        <v>155</v>
      </c>
      <c r="J134" s="221" t="s">
        <v>155</v>
      </c>
      <c r="K134" s="221" t="s">
        <v>155</v>
      </c>
      <c r="L134" s="194" t="s">
        <v>155</v>
      </c>
      <c r="M134" s="222" t="s">
        <v>155</v>
      </c>
      <c r="N134" s="222" t="s">
        <v>155</v>
      </c>
      <c r="O134" s="222" t="s">
        <v>155</v>
      </c>
      <c r="P134" s="221" t="s">
        <v>155</v>
      </c>
      <c r="Q134" s="221" t="s">
        <v>155</v>
      </c>
      <c r="R134" s="194" t="s">
        <v>155</v>
      </c>
      <c r="S134" s="222" t="s">
        <v>155</v>
      </c>
      <c r="T134" s="222" t="s">
        <v>155</v>
      </c>
      <c r="U134" s="190" t="s">
        <v>155</v>
      </c>
      <c r="V134" s="190" t="s">
        <v>155</v>
      </c>
    </row>
    <row r="135" spans="1:22" s="47" customFormat="1" x14ac:dyDescent="0.3">
      <c r="A135" s="98">
        <v>5</v>
      </c>
      <c r="B135" s="151" t="str">
        <f t="shared" si="10"/>
        <v>Cwm Taf Morgannwg UHB, Prince Charles Hospital</v>
      </c>
      <c r="C135" s="98"/>
      <c r="D135" s="98"/>
      <c r="E135" s="134"/>
      <c r="F135" s="38"/>
      <c r="G135" s="221" t="s">
        <v>155</v>
      </c>
      <c r="H135" s="221" t="s">
        <v>155</v>
      </c>
      <c r="I135" s="221" t="s">
        <v>155</v>
      </c>
      <c r="J135" s="221" t="s">
        <v>155</v>
      </c>
      <c r="K135" s="221" t="s">
        <v>155</v>
      </c>
      <c r="L135" s="194" t="s">
        <v>155</v>
      </c>
      <c r="M135" s="222" t="s">
        <v>155</v>
      </c>
      <c r="N135" s="222" t="s">
        <v>155</v>
      </c>
      <c r="O135" s="222" t="s">
        <v>155</v>
      </c>
      <c r="P135" s="221" t="s">
        <v>155</v>
      </c>
      <c r="Q135" s="221" t="s">
        <v>155</v>
      </c>
      <c r="R135" s="194" t="s">
        <v>155</v>
      </c>
      <c r="S135" s="222" t="s">
        <v>155</v>
      </c>
      <c r="T135" s="222" t="s">
        <v>155</v>
      </c>
      <c r="U135" s="190" t="s">
        <v>155</v>
      </c>
      <c r="V135" s="190" t="s">
        <v>155</v>
      </c>
    </row>
    <row r="136" spans="1:22" s="47" customFormat="1" x14ac:dyDescent="0.3">
      <c r="A136" s="98">
        <v>6</v>
      </c>
      <c r="B136" s="151" t="str">
        <f t="shared" si="10"/>
        <v>Hywel Dda UHB, Glangwilli Hospital</v>
      </c>
      <c r="C136" s="98"/>
      <c r="D136" s="98"/>
      <c r="E136" s="134"/>
      <c r="F136" s="38"/>
      <c r="G136" s="221" t="s">
        <v>155</v>
      </c>
      <c r="H136" s="221" t="s">
        <v>155</v>
      </c>
      <c r="I136" s="221" t="s">
        <v>155</v>
      </c>
      <c r="J136" s="221" t="s">
        <v>155</v>
      </c>
      <c r="K136" s="221" t="s">
        <v>155</v>
      </c>
      <c r="L136" s="194" t="s">
        <v>155</v>
      </c>
      <c r="M136" s="222" t="s">
        <v>155</v>
      </c>
      <c r="N136" s="222" t="s">
        <v>155</v>
      </c>
      <c r="O136" s="222" t="s">
        <v>155</v>
      </c>
      <c r="P136" s="221" t="s">
        <v>155</v>
      </c>
      <c r="Q136" s="221" t="s">
        <v>155</v>
      </c>
      <c r="R136" s="194" t="s">
        <v>155</v>
      </c>
      <c r="S136" s="222" t="s">
        <v>155</v>
      </c>
      <c r="T136" s="222" t="s">
        <v>155</v>
      </c>
      <c r="U136" s="190" t="s">
        <v>155</v>
      </c>
      <c r="V136" s="190" t="s">
        <v>155</v>
      </c>
    </row>
    <row r="137" spans="1:22" s="47" customFormat="1" x14ac:dyDescent="0.3">
      <c r="A137" s="98">
        <v>7</v>
      </c>
      <c r="B137" s="151" t="str">
        <f t="shared" si="10"/>
        <v>Hywel Dda UHB, Withybush Hospital</v>
      </c>
      <c r="C137" s="98"/>
      <c r="D137" s="98"/>
      <c r="E137" s="134"/>
      <c r="F137" s="38"/>
      <c r="G137" s="221" t="s">
        <v>155</v>
      </c>
      <c r="H137" s="221" t="s">
        <v>155</v>
      </c>
      <c r="I137" s="221" t="s">
        <v>155</v>
      </c>
      <c r="J137" s="221" t="s">
        <v>155</v>
      </c>
      <c r="K137" s="221" t="s">
        <v>155</v>
      </c>
      <c r="L137" s="194" t="s">
        <v>155</v>
      </c>
      <c r="M137" s="222" t="s">
        <v>155</v>
      </c>
      <c r="N137" s="222" t="s">
        <v>155</v>
      </c>
      <c r="O137" s="222" t="s">
        <v>155</v>
      </c>
      <c r="P137" s="221" t="s">
        <v>155</v>
      </c>
      <c r="Q137" s="221" t="s">
        <v>155</v>
      </c>
      <c r="R137" s="194" t="s">
        <v>155</v>
      </c>
      <c r="S137" s="222" t="s">
        <v>155</v>
      </c>
      <c r="T137" s="222" t="s">
        <v>155</v>
      </c>
      <c r="U137" s="190" t="s">
        <v>155</v>
      </c>
      <c r="V137" s="190" t="s">
        <v>155</v>
      </c>
    </row>
    <row r="138" spans="1:22" x14ac:dyDescent="0.3">
      <c r="A138" s="98">
        <v>8</v>
      </c>
      <c r="B138" s="151" t="str">
        <f t="shared" si="10"/>
        <v>Swansea Bay UHB, Morriston / Singleton Hospitals</v>
      </c>
      <c r="C138" s="98"/>
      <c r="D138" s="98"/>
      <c r="E138" s="134"/>
      <c r="F138" s="38"/>
      <c r="G138" s="221" t="s">
        <v>155</v>
      </c>
      <c r="H138" s="221" t="s">
        <v>155</v>
      </c>
      <c r="I138" s="221" t="s">
        <v>155</v>
      </c>
      <c r="J138" s="221" t="s">
        <v>155</v>
      </c>
      <c r="K138" s="221" t="s">
        <v>155</v>
      </c>
      <c r="L138" s="194" t="s">
        <v>155</v>
      </c>
      <c r="M138" s="222" t="s">
        <v>155</v>
      </c>
      <c r="N138" s="222" t="s">
        <v>155</v>
      </c>
      <c r="O138" s="222" t="s">
        <v>155</v>
      </c>
      <c r="P138" s="221" t="s">
        <v>155</v>
      </c>
      <c r="Q138" s="221" t="s">
        <v>155</v>
      </c>
      <c r="R138" s="194" t="s">
        <v>155</v>
      </c>
      <c r="S138" s="222" t="s">
        <v>155</v>
      </c>
      <c r="T138" s="222" t="s">
        <v>155</v>
      </c>
      <c r="U138" s="190" t="s">
        <v>155</v>
      </c>
      <c r="V138" s="190" t="s">
        <v>155</v>
      </c>
    </row>
    <row r="139" spans="1:22" x14ac:dyDescent="0.3">
      <c r="A139" s="98">
        <v>9</v>
      </c>
      <c r="B139" s="151" t="str">
        <f t="shared" si="10"/>
        <v xml:space="preserve">Barnstaple, North Devon District Hospital </v>
      </c>
      <c r="C139" s="98"/>
      <c r="D139" s="98"/>
      <c r="E139" s="134"/>
      <c r="F139" s="38"/>
      <c r="G139" s="221" t="s">
        <v>155</v>
      </c>
      <c r="H139" s="221" t="s">
        <v>155</v>
      </c>
      <c r="I139" s="221" t="s">
        <v>155</v>
      </c>
      <c r="J139" s="221" t="s">
        <v>155</v>
      </c>
      <c r="K139" s="221" t="s">
        <v>155</v>
      </c>
      <c r="L139" s="194" t="s">
        <v>155</v>
      </c>
      <c r="M139" s="222" t="s">
        <v>155</v>
      </c>
      <c r="N139" s="222" t="s">
        <v>155</v>
      </c>
      <c r="O139" s="222" t="s">
        <v>155</v>
      </c>
      <c r="P139" s="221" t="s">
        <v>155</v>
      </c>
      <c r="Q139" s="221" t="s">
        <v>155</v>
      </c>
      <c r="R139" s="194" t="s">
        <v>155</v>
      </c>
      <c r="S139" s="222" t="s">
        <v>155</v>
      </c>
      <c r="T139" s="222" t="s">
        <v>155</v>
      </c>
      <c r="U139" s="190" t="s">
        <v>155</v>
      </c>
      <c r="V139" s="190" t="s">
        <v>155</v>
      </c>
    </row>
    <row r="140" spans="1:22" x14ac:dyDescent="0.3">
      <c r="A140" s="98">
        <v>10</v>
      </c>
      <c r="B140" s="151" t="str">
        <f t="shared" si="10"/>
        <v xml:space="preserve">Bath, Royal United Hospital </v>
      </c>
      <c r="C140" s="98"/>
      <c r="D140" s="98"/>
      <c r="E140" s="134"/>
      <c r="F140" s="38"/>
      <c r="G140" s="221" t="s">
        <v>155</v>
      </c>
      <c r="H140" s="221" t="s">
        <v>155</v>
      </c>
      <c r="I140" s="221" t="s">
        <v>155</v>
      </c>
      <c r="J140" s="221" t="s">
        <v>155</v>
      </c>
      <c r="K140" s="221" t="s">
        <v>155</v>
      </c>
      <c r="L140" s="194" t="s">
        <v>155</v>
      </c>
      <c r="M140" s="222" t="s">
        <v>155</v>
      </c>
      <c r="N140" s="222" t="s">
        <v>155</v>
      </c>
      <c r="O140" s="222" t="s">
        <v>155</v>
      </c>
      <c r="P140" s="221" t="s">
        <v>155</v>
      </c>
      <c r="Q140" s="221" t="s">
        <v>155</v>
      </c>
      <c r="R140" s="194" t="s">
        <v>155</v>
      </c>
      <c r="S140" s="222" t="s">
        <v>155</v>
      </c>
      <c r="T140" s="222" t="s">
        <v>155</v>
      </c>
      <c r="U140" s="190" t="s">
        <v>155</v>
      </c>
      <c r="V140" s="190" t="s">
        <v>155</v>
      </c>
    </row>
    <row r="141" spans="1:22" x14ac:dyDescent="0.3">
      <c r="A141" s="98">
        <v>11</v>
      </c>
      <c r="B141" s="151" t="str">
        <f t="shared" si="10"/>
        <v>Bristol, Bristol Heart Institute / Bristol Royal Hospital for Children</v>
      </c>
      <c r="C141" s="98"/>
      <c r="D141" s="98"/>
      <c r="E141" s="134"/>
      <c r="F141" s="38"/>
      <c r="G141" s="221" t="s">
        <v>155</v>
      </c>
      <c r="H141" s="221" t="s">
        <v>155</v>
      </c>
      <c r="I141" s="221" t="s">
        <v>155</v>
      </c>
      <c r="J141" s="221" t="s">
        <v>155</v>
      </c>
      <c r="K141" s="221" t="s">
        <v>155</v>
      </c>
      <c r="L141" s="194" t="s">
        <v>155</v>
      </c>
      <c r="M141" s="222" t="s">
        <v>155</v>
      </c>
      <c r="N141" s="222" t="s">
        <v>155</v>
      </c>
      <c r="O141" s="222" t="s">
        <v>155</v>
      </c>
      <c r="P141" s="221" t="s">
        <v>155</v>
      </c>
      <c r="Q141" s="221" t="s">
        <v>155</v>
      </c>
      <c r="R141" s="194" t="s">
        <v>155</v>
      </c>
      <c r="S141" s="222" t="s">
        <v>155</v>
      </c>
      <c r="T141" s="222" t="s">
        <v>155</v>
      </c>
      <c r="U141" s="190" t="s">
        <v>155</v>
      </c>
      <c r="V141" s="190" t="s">
        <v>155</v>
      </c>
    </row>
    <row r="142" spans="1:22" x14ac:dyDescent="0.3">
      <c r="A142" s="98">
        <v>12</v>
      </c>
      <c r="B142" s="151" t="str">
        <f t="shared" si="10"/>
        <v xml:space="preserve">Exeter, Royal Devon and Exeter Hospital </v>
      </c>
      <c r="C142" s="98"/>
      <c r="D142" s="98"/>
      <c r="E142" s="134"/>
      <c r="F142" s="38"/>
      <c r="G142" s="221" t="s">
        <v>155</v>
      </c>
      <c r="H142" s="221" t="s">
        <v>155</v>
      </c>
      <c r="I142" s="221" t="s">
        <v>155</v>
      </c>
      <c r="J142" s="221" t="s">
        <v>155</v>
      </c>
      <c r="K142" s="221" t="s">
        <v>155</v>
      </c>
      <c r="L142" s="194" t="s">
        <v>155</v>
      </c>
      <c r="M142" s="222" t="s">
        <v>155</v>
      </c>
      <c r="N142" s="222" t="s">
        <v>155</v>
      </c>
      <c r="O142" s="222" t="s">
        <v>155</v>
      </c>
      <c r="P142" s="221" t="s">
        <v>155</v>
      </c>
      <c r="Q142" s="221" t="s">
        <v>155</v>
      </c>
      <c r="R142" s="194" t="s">
        <v>155</v>
      </c>
      <c r="S142" s="222" t="s">
        <v>155</v>
      </c>
      <c r="T142" s="222" t="s">
        <v>155</v>
      </c>
      <c r="U142" s="190" t="s">
        <v>155</v>
      </c>
      <c r="V142" s="190" t="s">
        <v>155</v>
      </c>
    </row>
    <row r="143" spans="1:22" x14ac:dyDescent="0.3">
      <c r="A143" s="98">
        <v>13</v>
      </c>
      <c r="B143" s="151" t="str">
        <f t="shared" si="10"/>
        <v>Gloucester, Gloucestershire Hospitals</v>
      </c>
      <c r="C143" s="98"/>
      <c r="D143" s="98"/>
      <c r="E143" s="134"/>
      <c r="F143" s="38"/>
      <c r="G143" s="221" t="s">
        <v>155</v>
      </c>
      <c r="H143" s="221" t="s">
        <v>155</v>
      </c>
      <c r="I143" s="221" t="s">
        <v>155</v>
      </c>
      <c r="J143" s="221" t="s">
        <v>155</v>
      </c>
      <c r="K143" s="221" t="s">
        <v>155</v>
      </c>
      <c r="L143" s="194" t="s">
        <v>155</v>
      </c>
      <c r="M143" s="222" t="s">
        <v>155</v>
      </c>
      <c r="N143" s="222" t="s">
        <v>155</v>
      </c>
      <c r="O143" s="222" t="s">
        <v>155</v>
      </c>
      <c r="P143" s="221" t="s">
        <v>155</v>
      </c>
      <c r="Q143" s="221" t="s">
        <v>155</v>
      </c>
      <c r="R143" s="194" t="s">
        <v>155</v>
      </c>
      <c r="S143" s="222" t="s">
        <v>155</v>
      </c>
      <c r="T143" s="222" t="s">
        <v>155</v>
      </c>
      <c r="U143" s="190" t="s">
        <v>155</v>
      </c>
      <c r="V143" s="190" t="s">
        <v>155</v>
      </c>
    </row>
    <row r="144" spans="1:22" x14ac:dyDescent="0.3">
      <c r="A144" s="98">
        <v>14</v>
      </c>
      <c r="B144" s="151" t="str">
        <f t="shared" si="10"/>
        <v xml:space="preserve">Plymouth, Derriford Hospital </v>
      </c>
      <c r="C144" s="98"/>
      <c r="D144" s="98"/>
      <c r="E144" s="134"/>
      <c r="F144" s="38"/>
      <c r="G144" s="221" t="s">
        <v>155</v>
      </c>
      <c r="H144" s="221" t="s">
        <v>155</v>
      </c>
      <c r="I144" s="221" t="s">
        <v>155</v>
      </c>
      <c r="J144" s="221" t="s">
        <v>155</v>
      </c>
      <c r="K144" s="221" t="s">
        <v>155</v>
      </c>
      <c r="L144" s="194" t="s">
        <v>155</v>
      </c>
      <c r="M144" s="222" t="s">
        <v>155</v>
      </c>
      <c r="N144" s="222" t="s">
        <v>155</v>
      </c>
      <c r="O144" s="222" t="s">
        <v>155</v>
      </c>
      <c r="P144" s="221" t="s">
        <v>155</v>
      </c>
      <c r="Q144" s="221" t="s">
        <v>155</v>
      </c>
      <c r="R144" s="194" t="s">
        <v>155</v>
      </c>
      <c r="S144" s="222" t="s">
        <v>155</v>
      </c>
      <c r="T144" s="222" t="s">
        <v>155</v>
      </c>
      <c r="U144" s="190" t="s">
        <v>155</v>
      </c>
      <c r="V144" s="190" t="s">
        <v>155</v>
      </c>
    </row>
    <row r="145" spans="1:22" x14ac:dyDescent="0.3">
      <c r="A145" s="98">
        <v>15</v>
      </c>
      <c r="B145" s="151" t="str">
        <f t="shared" si="10"/>
        <v xml:space="preserve">Swindon, Great Weston Hospital </v>
      </c>
      <c r="C145" s="98"/>
      <c r="D145" s="98"/>
      <c r="E145" s="134"/>
      <c r="F145" s="38"/>
      <c r="G145" s="221" t="s">
        <v>155</v>
      </c>
      <c r="H145" s="221" t="s">
        <v>155</v>
      </c>
      <c r="I145" s="221" t="s">
        <v>155</v>
      </c>
      <c r="J145" s="221" t="s">
        <v>155</v>
      </c>
      <c r="K145" s="221" t="s">
        <v>155</v>
      </c>
      <c r="L145" s="194" t="s">
        <v>155</v>
      </c>
      <c r="M145" s="222" t="s">
        <v>155</v>
      </c>
      <c r="N145" s="222" t="s">
        <v>155</v>
      </c>
      <c r="O145" s="222" t="s">
        <v>155</v>
      </c>
      <c r="P145" s="221" t="s">
        <v>155</v>
      </c>
      <c r="Q145" s="221" t="s">
        <v>155</v>
      </c>
      <c r="R145" s="194" t="s">
        <v>155</v>
      </c>
      <c r="S145" s="222" t="s">
        <v>155</v>
      </c>
      <c r="T145" s="222" t="s">
        <v>155</v>
      </c>
      <c r="U145" s="190" t="s">
        <v>155</v>
      </c>
      <c r="V145" s="190" t="s">
        <v>155</v>
      </c>
    </row>
    <row r="146" spans="1:22" x14ac:dyDescent="0.3">
      <c r="A146" s="98">
        <v>16</v>
      </c>
      <c r="B146" s="151" t="str">
        <f t="shared" si="10"/>
        <v xml:space="preserve">Taunton, Musgrove Park Hospital </v>
      </c>
      <c r="C146" s="98"/>
      <c r="D146" s="98"/>
      <c r="E146" s="134"/>
      <c r="F146" s="38"/>
      <c r="G146" s="221" t="s">
        <v>155</v>
      </c>
      <c r="H146" s="221" t="s">
        <v>155</v>
      </c>
      <c r="I146" s="221" t="s">
        <v>155</v>
      </c>
      <c r="J146" s="221" t="s">
        <v>155</v>
      </c>
      <c r="K146" s="221" t="s">
        <v>155</v>
      </c>
      <c r="L146" s="194" t="s">
        <v>155</v>
      </c>
      <c r="M146" s="222" t="s">
        <v>155</v>
      </c>
      <c r="N146" s="222" t="s">
        <v>155</v>
      </c>
      <c r="O146" s="222" t="s">
        <v>155</v>
      </c>
      <c r="P146" s="221" t="s">
        <v>155</v>
      </c>
      <c r="Q146" s="221" t="s">
        <v>155</v>
      </c>
      <c r="R146" s="194" t="s">
        <v>155</v>
      </c>
      <c r="S146" s="222" t="s">
        <v>155</v>
      </c>
      <c r="T146" s="222" t="s">
        <v>155</v>
      </c>
      <c r="U146" s="190" t="s">
        <v>155</v>
      </c>
      <c r="V146" s="190" t="s">
        <v>155</v>
      </c>
    </row>
    <row r="147" spans="1:22" x14ac:dyDescent="0.3">
      <c r="A147" s="98">
        <v>17</v>
      </c>
      <c r="B147" s="151" t="str">
        <f t="shared" si="10"/>
        <v xml:space="preserve">Torquay, Torbay General District Hospital </v>
      </c>
      <c r="C147" s="98"/>
      <c r="D147" s="98"/>
      <c r="E147" s="134"/>
      <c r="F147" s="38"/>
      <c r="G147" s="221" t="s">
        <v>155</v>
      </c>
      <c r="H147" s="221" t="s">
        <v>155</v>
      </c>
      <c r="I147" s="221" t="s">
        <v>155</v>
      </c>
      <c r="J147" s="221" t="s">
        <v>155</v>
      </c>
      <c r="K147" s="221" t="s">
        <v>155</v>
      </c>
      <c r="L147" s="194" t="s">
        <v>155</v>
      </c>
      <c r="M147" s="222" t="s">
        <v>155</v>
      </c>
      <c r="N147" s="222" t="s">
        <v>155</v>
      </c>
      <c r="O147" s="222" t="s">
        <v>155</v>
      </c>
      <c r="P147" s="221" t="s">
        <v>155</v>
      </c>
      <c r="Q147" s="221" t="s">
        <v>155</v>
      </c>
      <c r="R147" s="194" t="s">
        <v>155</v>
      </c>
      <c r="S147" s="222" t="s">
        <v>155</v>
      </c>
      <c r="T147" s="222" t="s">
        <v>155</v>
      </c>
      <c r="U147" s="190" t="s">
        <v>155</v>
      </c>
      <c r="V147" s="190" t="s">
        <v>155</v>
      </c>
    </row>
    <row r="148" spans="1:22" x14ac:dyDescent="0.3">
      <c r="A148" s="98">
        <v>18</v>
      </c>
      <c r="B148" s="154" t="str">
        <f t="shared" si="10"/>
        <v xml:space="preserve">Truro, Royal Cornwall Hospital </v>
      </c>
      <c r="C148" s="98"/>
      <c r="D148" s="98"/>
      <c r="E148" s="51"/>
      <c r="F148" s="38"/>
      <c r="G148" s="221" t="s">
        <v>155</v>
      </c>
      <c r="H148" s="221" t="s">
        <v>155</v>
      </c>
      <c r="I148" s="221" t="s">
        <v>155</v>
      </c>
      <c r="J148" s="221" t="s">
        <v>155</v>
      </c>
      <c r="K148" s="221" t="s">
        <v>155</v>
      </c>
      <c r="L148" s="194" t="s">
        <v>155</v>
      </c>
      <c r="M148" s="222" t="s">
        <v>155</v>
      </c>
      <c r="N148" s="222" t="s">
        <v>155</v>
      </c>
      <c r="O148" s="222" t="s">
        <v>155</v>
      </c>
      <c r="P148" s="221" t="s">
        <v>155</v>
      </c>
      <c r="Q148" s="221" t="s">
        <v>155</v>
      </c>
      <c r="R148" s="194" t="s">
        <v>155</v>
      </c>
      <c r="S148" s="222" t="s">
        <v>155</v>
      </c>
      <c r="T148" s="222" t="s">
        <v>155</v>
      </c>
      <c r="U148" s="190" t="s">
        <v>155</v>
      </c>
      <c r="V148" s="190" t="s">
        <v>155</v>
      </c>
    </row>
    <row r="149" spans="1:22" x14ac:dyDescent="0.3">
      <c r="C149" s="48"/>
      <c r="D149" s="48"/>
      <c r="E149" s="6">
        <f t="shared" ref="E149:V149" ca="1" si="11">OFFSET(E131,PaedChoice-1,0)</f>
        <v>0</v>
      </c>
      <c r="F149" s="6">
        <f t="shared" ca="1" si="11"/>
        <v>0</v>
      </c>
      <c r="G149" s="5" t="str">
        <f t="shared" ca="1" si="11"/>
        <v>No data</v>
      </c>
      <c r="H149" s="5" t="str">
        <f t="shared" ca="1" si="11"/>
        <v>No data</v>
      </c>
      <c r="I149" s="5" t="str">
        <f t="shared" ca="1" si="11"/>
        <v>No data</v>
      </c>
      <c r="J149" s="5" t="str">
        <f t="shared" ca="1" si="11"/>
        <v>No data</v>
      </c>
      <c r="K149" s="5" t="str">
        <f t="shared" ca="1" si="11"/>
        <v>No data</v>
      </c>
      <c r="L149" s="5" t="str">
        <f t="shared" ca="1" si="11"/>
        <v>No data</v>
      </c>
      <c r="M149" s="5" t="str">
        <f t="shared" ca="1" si="11"/>
        <v>No data</v>
      </c>
      <c r="N149" s="5" t="str">
        <f t="shared" ca="1" si="11"/>
        <v>No data</v>
      </c>
      <c r="O149" s="5" t="str">
        <f t="shared" ca="1" si="11"/>
        <v>No data</v>
      </c>
      <c r="P149" s="5" t="str">
        <f t="shared" ca="1" si="11"/>
        <v>No data</v>
      </c>
      <c r="Q149" s="5" t="str">
        <f t="shared" ca="1" si="11"/>
        <v>No data</v>
      </c>
      <c r="R149" s="5" t="str">
        <f t="shared" ca="1" si="11"/>
        <v>No data</v>
      </c>
      <c r="S149" s="5" t="str">
        <f t="shared" ca="1" si="11"/>
        <v>No data</v>
      </c>
      <c r="T149" s="5" t="str">
        <f t="shared" ca="1" si="11"/>
        <v>No data</v>
      </c>
      <c r="U149" s="234" t="str">
        <f t="shared" ca="1" si="11"/>
        <v>No data</v>
      </c>
      <c r="V149" s="234" t="str">
        <f t="shared" ca="1" si="11"/>
        <v>No data</v>
      </c>
    </row>
    <row r="150" spans="1:22" s="36" customFormat="1" ht="21" x14ac:dyDescent="0.3">
      <c r="C150" s="224"/>
      <c r="D150" s="97"/>
      <c r="E150" s="224"/>
    </row>
    <row r="151" spans="1:22" s="7" customFormat="1" ht="21" x14ac:dyDescent="0.3">
      <c r="A151" s="7" t="s">
        <v>7</v>
      </c>
    </row>
    <row r="152" spans="1:22" s="36" customFormat="1" ht="21" x14ac:dyDescent="0.3">
      <c r="A152" s="53" t="s">
        <v>63</v>
      </c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</row>
    <row r="153" spans="1:22" x14ac:dyDescent="0.3">
      <c r="B153" s="2">
        <v>2</v>
      </c>
      <c r="C153" s="2">
        <v>3</v>
      </c>
      <c r="D153" s="2">
        <v>4</v>
      </c>
      <c r="E153" s="2">
        <v>5</v>
      </c>
      <c r="F153" s="2">
        <v>6</v>
      </c>
      <c r="G153" s="2">
        <v>7</v>
      </c>
      <c r="H153" s="2">
        <v>8</v>
      </c>
      <c r="I153" s="2">
        <v>9</v>
      </c>
      <c r="J153" s="2">
        <v>10</v>
      </c>
      <c r="K153" s="2">
        <v>11</v>
      </c>
      <c r="L153" s="2">
        <v>12</v>
      </c>
      <c r="M153" s="2">
        <v>13</v>
      </c>
      <c r="N153" s="2">
        <v>14</v>
      </c>
      <c r="O153" s="2">
        <v>15</v>
      </c>
      <c r="P153" s="2">
        <v>16</v>
      </c>
      <c r="Q153" s="2">
        <v>17</v>
      </c>
      <c r="R153" s="2">
        <v>18</v>
      </c>
      <c r="S153" s="2">
        <v>19</v>
      </c>
      <c r="T153" s="2">
        <v>20</v>
      </c>
      <c r="U153" s="2">
        <v>21</v>
      </c>
      <c r="V153" s="2">
        <v>22</v>
      </c>
    </row>
    <row r="154" spans="1:22" s="47" customFormat="1" x14ac:dyDescent="0.3">
      <c r="A154" s="98"/>
      <c r="B154" s="98"/>
      <c r="C154" s="413" t="s">
        <v>110</v>
      </c>
      <c r="D154" s="413" t="s">
        <v>111</v>
      </c>
      <c r="E154" s="413" t="s">
        <v>0</v>
      </c>
      <c r="F154" s="413" t="s">
        <v>112</v>
      </c>
      <c r="G154" s="413" t="s">
        <v>42</v>
      </c>
      <c r="H154" s="413"/>
      <c r="I154" s="413" t="s">
        <v>43</v>
      </c>
      <c r="J154" s="413"/>
      <c r="K154" s="413"/>
      <c r="L154" s="413"/>
      <c r="M154" s="413"/>
      <c r="N154" s="413"/>
      <c r="O154" s="413"/>
      <c r="P154" s="413"/>
      <c r="Q154" s="413"/>
      <c r="R154" s="413"/>
      <c r="S154" s="413"/>
      <c r="T154" s="413"/>
      <c r="U154" s="413" t="s">
        <v>41</v>
      </c>
      <c r="V154" s="413"/>
    </row>
    <row r="155" spans="1:22" s="47" customFormat="1" x14ac:dyDescent="0.3">
      <c r="A155" s="98"/>
      <c r="B155" s="98"/>
      <c r="C155" s="413"/>
      <c r="D155" s="413"/>
      <c r="E155" s="413"/>
      <c r="F155" s="413"/>
      <c r="G155" s="413" t="s">
        <v>1</v>
      </c>
      <c r="H155" s="413" t="s">
        <v>2</v>
      </c>
      <c r="I155" s="413" t="s">
        <v>1</v>
      </c>
      <c r="J155" s="413"/>
      <c r="K155" s="413"/>
      <c r="L155" s="413"/>
      <c r="M155" s="413"/>
      <c r="N155" s="413"/>
      <c r="O155" s="413" t="s">
        <v>40</v>
      </c>
      <c r="P155" s="413"/>
      <c r="Q155" s="413"/>
      <c r="R155" s="413"/>
      <c r="S155" s="413"/>
      <c r="T155" s="413"/>
      <c r="U155" s="413" t="s">
        <v>1</v>
      </c>
      <c r="V155" s="413" t="s">
        <v>40</v>
      </c>
    </row>
    <row r="156" spans="1:22" s="47" customFormat="1" ht="28.8" x14ac:dyDescent="0.3">
      <c r="A156" s="98"/>
      <c r="B156" s="98"/>
      <c r="C156" s="413"/>
      <c r="D156" s="413"/>
      <c r="E156" s="413"/>
      <c r="F156" s="413"/>
      <c r="G156" s="413"/>
      <c r="H156" s="413"/>
      <c r="I156" s="98" t="s">
        <v>113</v>
      </c>
      <c r="J156" s="98" t="s">
        <v>37</v>
      </c>
      <c r="K156" s="98" t="s">
        <v>38</v>
      </c>
      <c r="L156" s="37" t="s">
        <v>39</v>
      </c>
      <c r="M156" s="98" t="s">
        <v>152</v>
      </c>
      <c r="N156" s="98" t="s">
        <v>115</v>
      </c>
      <c r="O156" s="98" t="s">
        <v>113</v>
      </c>
      <c r="P156" s="98" t="s">
        <v>37</v>
      </c>
      <c r="Q156" s="98" t="s">
        <v>38</v>
      </c>
      <c r="R156" s="37" t="s">
        <v>39</v>
      </c>
      <c r="S156" s="98" t="s">
        <v>114</v>
      </c>
      <c r="T156" s="98" t="s">
        <v>116</v>
      </c>
      <c r="U156" s="413"/>
      <c r="V156" s="413"/>
    </row>
    <row r="157" spans="1:22" s="47" customFormat="1" x14ac:dyDescent="0.3">
      <c r="A157" s="98">
        <v>1</v>
      </c>
      <c r="B157" s="151" t="str">
        <f t="shared" ref="B157:B173" si="12">VLOOKUP(A157,AdultSites,2)</f>
        <v>Aneurin Bevan UHB, Nevill Hall &amp; Royal Gwent Hospitals</v>
      </c>
      <c r="C157" s="98"/>
      <c r="D157" s="98"/>
      <c r="E157" s="51"/>
      <c r="F157" s="38"/>
      <c r="G157" s="221" t="s">
        <v>155</v>
      </c>
      <c r="H157" s="221" t="s">
        <v>155</v>
      </c>
      <c r="I157" s="221" t="s">
        <v>155</v>
      </c>
      <c r="J157" s="221" t="s">
        <v>155</v>
      </c>
      <c r="K157" s="221" t="s">
        <v>155</v>
      </c>
      <c r="L157" s="194" t="s">
        <v>155</v>
      </c>
      <c r="M157" s="222" t="s">
        <v>155</v>
      </c>
      <c r="N157" s="222" t="s">
        <v>155</v>
      </c>
      <c r="O157" s="222" t="s">
        <v>155</v>
      </c>
      <c r="P157" s="221" t="s">
        <v>155</v>
      </c>
      <c r="Q157" s="221" t="s">
        <v>155</v>
      </c>
      <c r="R157" s="194" t="s">
        <v>155</v>
      </c>
      <c r="S157" s="222" t="s">
        <v>155</v>
      </c>
      <c r="T157" s="222" t="s">
        <v>155</v>
      </c>
      <c r="U157" s="190" t="s">
        <v>155</v>
      </c>
      <c r="V157" s="190" t="s">
        <v>155</v>
      </c>
    </row>
    <row r="158" spans="1:22" s="47" customFormat="1" x14ac:dyDescent="0.3">
      <c r="A158" s="98">
        <v>2</v>
      </c>
      <c r="B158" s="151" t="str">
        <f t="shared" si="12"/>
        <v>Cardiff &amp; Vale UHB, Noah’s Ark / University Hospital Wales</v>
      </c>
      <c r="C158" s="98"/>
      <c r="D158" s="98"/>
      <c r="E158" s="51"/>
      <c r="F158" s="38"/>
      <c r="G158" s="221" t="s">
        <v>155</v>
      </c>
      <c r="H158" s="221" t="s">
        <v>155</v>
      </c>
      <c r="I158" s="221" t="s">
        <v>155</v>
      </c>
      <c r="J158" s="221" t="s">
        <v>155</v>
      </c>
      <c r="K158" s="221" t="s">
        <v>155</v>
      </c>
      <c r="L158" s="194" t="s">
        <v>155</v>
      </c>
      <c r="M158" s="222" t="s">
        <v>155</v>
      </c>
      <c r="N158" s="222" t="s">
        <v>155</v>
      </c>
      <c r="O158" s="222" t="s">
        <v>155</v>
      </c>
      <c r="P158" s="221" t="s">
        <v>155</v>
      </c>
      <c r="Q158" s="221" t="s">
        <v>155</v>
      </c>
      <c r="R158" s="194" t="s">
        <v>155</v>
      </c>
      <c r="S158" s="222" t="s">
        <v>155</v>
      </c>
      <c r="T158" s="222" t="s">
        <v>155</v>
      </c>
      <c r="U158" s="190" t="s">
        <v>155</v>
      </c>
      <c r="V158" s="190" t="s">
        <v>155</v>
      </c>
    </row>
    <row r="159" spans="1:22" s="47" customFormat="1" x14ac:dyDescent="0.3">
      <c r="A159" s="98">
        <v>3</v>
      </c>
      <c r="B159" s="151" t="str">
        <f t="shared" si="12"/>
        <v>Cwm Taf Morgannwg UHB, Princess of Wales Hospital</v>
      </c>
      <c r="C159" s="98"/>
      <c r="D159" s="98"/>
      <c r="E159" s="51"/>
      <c r="F159" s="38"/>
      <c r="G159" s="221" t="s">
        <v>155</v>
      </c>
      <c r="H159" s="221" t="s">
        <v>155</v>
      </c>
      <c r="I159" s="221" t="s">
        <v>155</v>
      </c>
      <c r="J159" s="221" t="s">
        <v>155</v>
      </c>
      <c r="K159" s="221" t="s">
        <v>155</v>
      </c>
      <c r="L159" s="194" t="s">
        <v>155</v>
      </c>
      <c r="M159" s="222" t="s">
        <v>155</v>
      </c>
      <c r="N159" s="222" t="s">
        <v>155</v>
      </c>
      <c r="O159" s="222" t="s">
        <v>155</v>
      </c>
      <c r="P159" s="221" t="s">
        <v>155</v>
      </c>
      <c r="Q159" s="221" t="s">
        <v>155</v>
      </c>
      <c r="R159" s="194" t="s">
        <v>155</v>
      </c>
      <c r="S159" s="222" t="s">
        <v>155</v>
      </c>
      <c r="T159" s="222" t="s">
        <v>155</v>
      </c>
      <c r="U159" s="190" t="s">
        <v>155</v>
      </c>
      <c r="V159" s="190" t="s">
        <v>155</v>
      </c>
    </row>
    <row r="160" spans="1:22" s="47" customFormat="1" x14ac:dyDescent="0.3">
      <c r="A160" s="98">
        <v>4</v>
      </c>
      <c r="B160" s="151" t="str">
        <f t="shared" si="12"/>
        <v xml:space="preserve">Cwm Taf Morgannwg UHB, Royal Glamorgan Hospital </v>
      </c>
      <c r="C160" s="98"/>
      <c r="D160" s="98"/>
      <c r="E160" s="51"/>
      <c r="F160" s="38"/>
      <c r="G160" s="221" t="s">
        <v>155</v>
      </c>
      <c r="H160" s="221" t="s">
        <v>155</v>
      </c>
      <c r="I160" s="221" t="s">
        <v>155</v>
      </c>
      <c r="J160" s="221" t="s">
        <v>155</v>
      </c>
      <c r="K160" s="221" t="s">
        <v>155</v>
      </c>
      <c r="L160" s="194" t="s">
        <v>155</v>
      </c>
      <c r="M160" s="222" t="s">
        <v>155</v>
      </c>
      <c r="N160" s="222" t="s">
        <v>155</v>
      </c>
      <c r="O160" s="222" t="s">
        <v>155</v>
      </c>
      <c r="P160" s="221" t="s">
        <v>155</v>
      </c>
      <c r="Q160" s="221" t="s">
        <v>155</v>
      </c>
      <c r="R160" s="194" t="s">
        <v>155</v>
      </c>
      <c r="S160" s="222" t="s">
        <v>155</v>
      </c>
      <c r="T160" s="222" t="s">
        <v>155</v>
      </c>
      <c r="U160" s="190" t="s">
        <v>155</v>
      </c>
      <c r="V160" s="190" t="s">
        <v>155</v>
      </c>
    </row>
    <row r="161" spans="1:22" s="47" customFormat="1" x14ac:dyDescent="0.3">
      <c r="A161" s="98">
        <v>5</v>
      </c>
      <c r="B161" s="151" t="str">
        <f t="shared" si="12"/>
        <v>Cwm Taf Morgannwg UHB, Prince Charles Hospital</v>
      </c>
      <c r="C161" s="98"/>
      <c r="D161" s="98"/>
      <c r="E161" s="51"/>
      <c r="F161" s="38"/>
      <c r="G161" s="221" t="s">
        <v>155</v>
      </c>
      <c r="H161" s="221" t="s">
        <v>155</v>
      </c>
      <c r="I161" s="221" t="s">
        <v>155</v>
      </c>
      <c r="J161" s="221" t="s">
        <v>155</v>
      </c>
      <c r="K161" s="221" t="s">
        <v>155</v>
      </c>
      <c r="L161" s="194" t="s">
        <v>155</v>
      </c>
      <c r="M161" s="222" t="s">
        <v>155</v>
      </c>
      <c r="N161" s="222" t="s">
        <v>155</v>
      </c>
      <c r="O161" s="222" t="s">
        <v>155</v>
      </c>
      <c r="P161" s="221" t="s">
        <v>155</v>
      </c>
      <c r="Q161" s="221" t="s">
        <v>155</v>
      </c>
      <c r="R161" s="194" t="s">
        <v>155</v>
      </c>
      <c r="S161" s="222" t="s">
        <v>155</v>
      </c>
      <c r="T161" s="222" t="s">
        <v>155</v>
      </c>
      <c r="U161" s="190" t="s">
        <v>155</v>
      </c>
      <c r="V161" s="190" t="s">
        <v>155</v>
      </c>
    </row>
    <row r="162" spans="1:22" s="47" customFormat="1" x14ac:dyDescent="0.3">
      <c r="A162" s="98">
        <v>6</v>
      </c>
      <c r="B162" s="151" t="str">
        <f t="shared" si="12"/>
        <v>Hywel Dda UHB, Glangwilli Hospital</v>
      </c>
      <c r="C162" s="98"/>
      <c r="D162" s="98"/>
      <c r="E162" s="51"/>
      <c r="F162" s="38"/>
      <c r="G162" s="221" t="s">
        <v>155</v>
      </c>
      <c r="H162" s="221" t="s">
        <v>155</v>
      </c>
      <c r="I162" s="221" t="s">
        <v>155</v>
      </c>
      <c r="J162" s="221" t="s">
        <v>155</v>
      </c>
      <c r="K162" s="221" t="s">
        <v>155</v>
      </c>
      <c r="L162" s="194" t="s">
        <v>155</v>
      </c>
      <c r="M162" s="222" t="s">
        <v>155</v>
      </c>
      <c r="N162" s="222" t="s">
        <v>155</v>
      </c>
      <c r="O162" s="222" t="s">
        <v>155</v>
      </c>
      <c r="P162" s="221" t="s">
        <v>155</v>
      </c>
      <c r="Q162" s="221" t="s">
        <v>155</v>
      </c>
      <c r="R162" s="194" t="s">
        <v>155</v>
      </c>
      <c r="S162" s="222" t="s">
        <v>155</v>
      </c>
      <c r="T162" s="222" t="s">
        <v>155</v>
      </c>
      <c r="U162" s="190" t="s">
        <v>155</v>
      </c>
      <c r="V162" s="190" t="s">
        <v>155</v>
      </c>
    </row>
    <row r="163" spans="1:22" s="47" customFormat="1" x14ac:dyDescent="0.3">
      <c r="A163" s="98">
        <v>7</v>
      </c>
      <c r="B163" s="151" t="str">
        <f t="shared" si="12"/>
        <v>Hywel Dda UHB, Withybush Hospital</v>
      </c>
      <c r="C163" s="98"/>
      <c r="D163" s="98"/>
      <c r="E163" s="51"/>
      <c r="F163" s="38"/>
      <c r="G163" s="221" t="s">
        <v>155</v>
      </c>
      <c r="H163" s="221" t="s">
        <v>155</v>
      </c>
      <c r="I163" s="221" t="s">
        <v>155</v>
      </c>
      <c r="J163" s="221" t="s">
        <v>155</v>
      </c>
      <c r="K163" s="221" t="s">
        <v>155</v>
      </c>
      <c r="L163" s="194" t="s">
        <v>155</v>
      </c>
      <c r="M163" s="222" t="s">
        <v>155</v>
      </c>
      <c r="N163" s="222" t="s">
        <v>155</v>
      </c>
      <c r="O163" s="222" t="s">
        <v>155</v>
      </c>
      <c r="P163" s="221" t="s">
        <v>155</v>
      </c>
      <c r="Q163" s="221" t="s">
        <v>155</v>
      </c>
      <c r="R163" s="194" t="s">
        <v>155</v>
      </c>
      <c r="S163" s="222" t="s">
        <v>155</v>
      </c>
      <c r="T163" s="222" t="s">
        <v>155</v>
      </c>
      <c r="U163" s="190" t="s">
        <v>155</v>
      </c>
      <c r="V163" s="190" t="s">
        <v>155</v>
      </c>
    </row>
    <row r="164" spans="1:22" s="47" customFormat="1" x14ac:dyDescent="0.3">
      <c r="A164" s="98">
        <v>8</v>
      </c>
      <c r="B164" s="151" t="str">
        <f t="shared" si="12"/>
        <v>Swansea Bay UHB, Morriston / Singleton Hospitals</v>
      </c>
      <c r="C164" s="98"/>
      <c r="D164" s="98"/>
      <c r="E164" s="51"/>
      <c r="F164" s="38"/>
      <c r="G164" s="221" t="s">
        <v>155</v>
      </c>
      <c r="H164" s="221" t="s">
        <v>155</v>
      </c>
      <c r="I164" s="221" t="s">
        <v>155</v>
      </c>
      <c r="J164" s="221" t="s">
        <v>155</v>
      </c>
      <c r="K164" s="221" t="s">
        <v>155</v>
      </c>
      <c r="L164" s="194" t="s">
        <v>155</v>
      </c>
      <c r="M164" s="222" t="s">
        <v>155</v>
      </c>
      <c r="N164" s="222" t="s">
        <v>155</v>
      </c>
      <c r="O164" s="222" t="s">
        <v>155</v>
      </c>
      <c r="P164" s="221" t="s">
        <v>155</v>
      </c>
      <c r="Q164" s="221" t="s">
        <v>155</v>
      </c>
      <c r="R164" s="194" t="s">
        <v>155</v>
      </c>
      <c r="S164" s="222" t="s">
        <v>155</v>
      </c>
      <c r="T164" s="222" t="s">
        <v>155</v>
      </c>
      <c r="U164" s="190" t="s">
        <v>155</v>
      </c>
      <c r="V164" s="190" t="s">
        <v>155</v>
      </c>
    </row>
    <row r="165" spans="1:22" s="47" customFormat="1" x14ac:dyDescent="0.3">
      <c r="A165" s="98">
        <v>9</v>
      </c>
      <c r="B165" s="151" t="str">
        <f t="shared" si="12"/>
        <v xml:space="preserve">Barnstaple, North Devon District Hospital </v>
      </c>
      <c r="C165" s="98"/>
      <c r="D165" s="98"/>
      <c r="E165" s="51"/>
      <c r="F165" s="38"/>
      <c r="G165" s="221" t="s">
        <v>155</v>
      </c>
      <c r="H165" s="221" t="s">
        <v>155</v>
      </c>
      <c r="I165" s="221" t="s">
        <v>155</v>
      </c>
      <c r="J165" s="221" t="s">
        <v>155</v>
      </c>
      <c r="K165" s="221" t="s">
        <v>155</v>
      </c>
      <c r="L165" s="194" t="s">
        <v>155</v>
      </c>
      <c r="M165" s="222" t="s">
        <v>155</v>
      </c>
      <c r="N165" s="222" t="s">
        <v>155</v>
      </c>
      <c r="O165" s="222" t="s">
        <v>155</v>
      </c>
      <c r="P165" s="221" t="s">
        <v>155</v>
      </c>
      <c r="Q165" s="221" t="s">
        <v>155</v>
      </c>
      <c r="R165" s="194" t="s">
        <v>155</v>
      </c>
      <c r="S165" s="222" t="s">
        <v>155</v>
      </c>
      <c r="T165" s="222" t="s">
        <v>155</v>
      </c>
      <c r="U165" s="190" t="s">
        <v>155</v>
      </c>
      <c r="V165" s="190" t="s">
        <v>155</v>
      </c>
    </row>
    <row r="166" spans="1:22" s="47" customFormat="1" x14ac:dyDescent="0.3">
      <c r="A166" s="98">
        <v>10</v>
      </c>
      <c r="B166" s="151" t="str">
        <f t="shared" si="12"/>
        <v>Bristol, Bristol Heart Institute / Bristol Royal Hospital for Children</v>
      </c>
      <c r="C166" s="98"/>
      <c r="D166" s="98"/>
      <c r="E166" s="51"/>
      <c r="F166" s="38"/>
      <c r="G166" s="221" t="s">
        <v>155</v>
      </c>
      <c r="H166" s="221" t="s">
        <v>155</v>
      </c>
      <c r="I166" s="221" t="s">
        <v>155</v>
      </c>
      <c r="J166" s="221" t="s">
        <v>155</v>
      </c>
      <c r="K166" s="221" t="s">
        <v>155</v>
      </c>
      <c r="L166" s="194" t="s">
        <v>155</v>
      </c>
      <c r="M166" s="222" t="s">
        <v>155</v>
      </c>
      <c r="N166" s="222" t="s">
        <v>155</v>
      </c>
      <c r="O166" s="222" t="s">
        <v>155</v>
      </c>
      <c r="P166" s="221" t="s">
        <v>155</v>
      </c>
      <c r="Q166" s="221" t="s">
        <v>155</v>
      </c>
      <c r="R166" s="194" t="s">
        <v>155</v>
      </c>
      <c r="S166" s="222" t="s">
        <v>155</v>
      </c>
      <c r="T166" s="222" t="s">
        <v>155</v>
      </c>
      <c r="U166" s="190" t="s">
        <v>155</v>
      </c>
      <c r="V166" s="190" t="s">
        <v>155</v>
      </c>
    </row>
    <row r="167" spans="1:22" s="47" customFormat="1" x14ac:dyDescent="0.3">
      <c r="A167" s="98">
        <v>11</v>
      </c>
      <c r="B167" s="151" t="str">
        <f t="shared" si="12"/>
        <v xml:space="preserve">Exeter, Royal Devon and Exeter Hospital </v>
      </c>
      <c r="C167" s="98"/>
      <c r="D167" s="98"/>
      <c r="E167" s="51"/>
      <c r="F167" s="38"/>
      <c r="G167" s="221" t="s">
        <v>155</v>
      </c>
      <c r="H167" s="221" t="s">
        <v>155</v>
      </c>
      <c r="I167" s="221" t="s">
        <v>155</v>
      </c>
      <c r="J167" s="221" t="s">
        <v>155</v>
      </c>
      <c r="K167" s="221" t="s">
        <v>155</v>
      </c>
      <c r="L167" s="194" t="s">
        <v>155</v>
      </c>
      <c r="M167" s="222" t="s">
        <v>155</v>
      </c>
      <c r="N167" s="222" t="s">
        <v>155</v>
      </c>
      <c r="O167" s="222" t="s">
        <v>155</v>
      </c>
      <c r="P167" s="221" t="s">
        <v>155</v>
      </c>
      <c r="Q167" s="221" t="s">
        <v>155</v>
      </c>
      <c r="R167" s="194" t="s">
        <v>155</v>
      </c>
      <c r="S167" s="222" t="s">
        <v>155</v>
      </c>
      <c r="T167" s="222" t="s">
        <v>155</v>
      </c>
      <c r="U167" s="190" t="s">
        <v>155</v>
      </c>
      <c r="V167" s="190" t="s">
        <v>155</v>
      </c>
    </row>
    <row r="168" spans="1:22" s="47" customFormat="1" x14ac:dyDescent="0.3">
      <c r="A168" s="98">
        <v>12</v>
      </c>
      <c r="B168" s="151" t="str">
        <f t="shared" si="12"/>
        <v>Gloucester, Gloucestershire Hospitals</v>
      </c>
      <c r="C168" s="98"/>
      <c r="D168" s="98"/>
      <c r="E168" s="51"/>
      <c r="F168" s="38"/>
      <c r="G168" s="221" t="s">
        <v>155</v>
      </c>
      <c r="H168" s="221" t="s">
        <v>155</v>
      </c>
      <c r="I168" s="221" t="s">
        <v>155</v>
      </c>
      <c r="J168" s="221" t="s">
        <v>155</v>
      </c>
      <c r="K168" s="221" t="s">
        <v>155</v>
      </c>
      <c r="L168" s="194" t="s">
        <v>155</v>
      </c>
      <c r="M168" s="222" t="s">
        <v>155</v>
      </c>
      <c r="N168" s="222" t="s">
        <v>155</v>
      </c>
      <c r="O168" s="222" t="s">
        <v>155</v>
      </c>
      <c r="P168" s="221" t="s">
        <v>155</v>
      </c>
      <c r="Q168" s="221" t="s">
        <v>155</v>
      </c>
      <c r="R168" s="194" t="s">
        <v>155</v>
      </c>
      <c r="S168" s="222" t="s">
        <v>155</v>
      </c>
      <c r="T168" s="222" t="s">
        <v>155</v>
      </c>
      <c r="U168" s="190" t="s">
        <v>155</v>
      </c>
      <c r="V168" s="190" t="s">
        <v>155</v>
      </c>
    </row>
    <row r="169" spans="1:22" s="47" customFormat="1" x14ac:dyDescent="0.3">
      <c r="A169" s="98">
        <v>13</v>
      </c>
      <c r="B169" s="151" t="str">
        <f t="shared" si="12"/>
        <v xml:space="preserve">Plymouth, Derriford Hospital </v>
      </c>
      <c r="C169" s="165"/>
      <c r="D169" s="165"/>
      <c r="E169" s="51"/>
      <c r="F169" s="38"/>
      <c r="G169" s="221" t="s">
        <v>155</v>
      </c>
      <c r="H169" s="221" t="s">
        <v>155</v>
      </c>
      <c r="I169" s="221" t="s">
        <v>155</v>
      </c>
      <c r="J169" s="221" t="s">
        <v>155</v>
      </c>
      <c r="K169" s="221" t="s">
        <v>155</v>
      </c>
      <c r="L169" s="194" t="s">
        <v>155</v>
      </c>
      <c r="M169" s="222" t="s">
        <v>155</v>
      </c>
      <c r="N169" s="222" t="s">
        <v>155</v>
      </c>
      <c r="O169" s="222" t="s">
        <v>155</v>
      </c>
      <c r="P169" s="221" t="s">
        <v>155</v>
      </c>
      <c r="Q169" s="221" t="s">
        <v>155</v>
      </c>
      <c r="R169" s="194" t="s">
        <v>155</v>
      </c>
      <c r="S169" s="222" t="s">
        <v>155</v>
      </c>
      <c r="T169" s="222" t="s">
        <v>155</v>
      </c>
      <c r="U169" s="190" t="s">
        <v>155</v>
      </c>
      <c r="V169" s="190" t="s">
        <v>155</v>
      </c>
    </row>
    <row r="170" spans="1:22" s="47" customFormat="1" x14ac:dyDescent="0.3">
      <c r="A170" s="98">
        <v>14</v>
      </c>
      <c r="B170" s="151" t="str">
        <f t="shared" si="12"/>
        <v xml:space="preserve">Swindon, Great Weston Hospital </v>
      </c>
      <c r="C170" s="98"/>
      <c r="D170" s="98"/>
      <c r="E170" s="51"/>
      <c r="F170" s="38"/>
      <c r="G170" s="221" t="s">
        <v>155</v>
      </c>
      <c r="H170" s="221" t="s">
        <v>155</v>
      </c>
      <c r="I170" s="221" t="s">
        <v>155</v>
      </c>
      <c r="J170" s="221" t="s">
        <v>155</v>
      </c>
      <c r="K170" s="221" t="s">
        <v>155</v>
      </c>
      <c r="L170" s="194" t="s">
        <v>155</v>
      </c>
      <c r="M170" s="222" t="s">
        <v>155</v>
      </c>
      <c r="N170" s="222" t="s">
        <v>155</v>
      </c>
      <c r="O170" s="222" t="s">
        <v>155</v>
      </c>
      <c r="P170" s="221" t="s">
        <v>155</v>
      </c>
      <c r="Q170" s="221" t="s">
        <v>155</v>
      </c>
      <c r="R170" s="194" t="s">
        <v>155</v>
      </c>
      <c r="S170" s="222" t="s">
        <v>155</v>
      </c>
      <c r="T170" s="222" t="s">
        <v>155</v>
      </c>
      <c r="U170" s="190" t="s">
        <v>155</v>
      </c>
      <c r="V170" s="190" t="s">
        <v>155</v>
      </c>
    </row>
    <row r="171" spans="1:22" s="47" customFormat="1" x14ac:dyDescent="0.3">
      <c r="A171" s="98">
        <v>15</v>
      </c>
      <c r="B171" s="151" t="str">
        <f t="shared" si="12"/>
        <v xml:space="preserve">Taunton, Musgrove Park Hospital </v>
      </c>
      <c r="C171" s="98"/>
      <c r="D171" s="98"/>
      <c r="E171" s="51"/>
      <c r="F171" s="38"/>
      <c r="G171" s="221" t="s">
        <v>155</v>
      </c>
      <c r="H171" s="221" t="s">
        <v>155</v>
      </c>
      <c r="I171" s="221" t="s">
        <v>155</v>
      </c>
      <c r="J171" s="221" t="s">
        <v>155</v>
      </c>
      <c r="K171" s="221" t="s">
        <v>155</v>
      </c>
      <c r="L171" s="194" t="s">
        <v>155</v>
      </c>
      <c r="M171" s="222" t="s">
        <v>155</v>
      </c>
      <c r="N171" s="222" t="s">
        <v>155</v>
      </c>
      <c r="O171" s="222" t="s">
        <v>155</v>
      </c>
      <c r="P171" s="221" t="s">
        <v>155</v>
      </c>
      <c r="Q171" s="221" t="s">
        <v>155</v>
      </c>
      <c r="R171" s="194" t="s">
        <v>155</v>
      </c>
      <c r="S171" s="222" t="s">
        <v>155</v>
      </c>
      <c r="T171" s="222" t="s">
        <v>155</v>
      </c>
      <c r="U171" s="190" t="s">
        <v>155</v>
      </c>
      <c r="V171" s="190" t="s">
        <v>155</v>
      </c>
    </row>
    <row r="172" spans="1:22" s="47" customFormat="1" x14ac:dyDescent="0.3">
      <c r="A172" s="98">
        <v>16</v>
      </c>
      <c r="B172" s="151" t="str">
        <f t="shared" si="12"/>
        <v xml:space="preserve">Torquay, Torbay General District Hospital </v>
      </c>
      <c r="C172" s="98"/>
      <c r="D172" s="98"/>
      <c r="E172" s="51"/>
      <c r="F172" s="38"/>
      <c r="G172" s="221" t="s">
        <v>155</v>
      </c>
      <c r="H172" s="221" t="s">
        <v>155</v>
      </c>
      <c r="I172" s="221" t="s">
        <v>155</v>
      </c>
      <c r="J172" s="221" t="s">
        <v>155</v>
      </c>
      <c r="K172" s="221" t="s">
        <v>155</v>
      </c>
      <c r="L172" s="194" t="s">
        <v>155</v>
      </c>
      <c r="M172" s="222" t="s">
        <v>155</v>
      </c>
      <c r="N172" s="222" t="s">
        <v>155</v>
      </c>
      <c r="O172" s="222" t="s">
        <v>155</v>
      </c>
      <c r="P172" s="221" t="s">
        <v>155</v>
      </c>
      <c r="Q172" s="221" t="s">
        <v>155</v>
      </c>
      <c r="R172" s="194" t="s">
        <v>155</v>
      </c>
      <c r="S172" s="222" t="s">
        <v>155</v>
      </c>
      <c r="T172" s="222" t="s">
        <v>155</v>
      </c>
      <c r="U172" s="190" t="s">
        <v>155</v>
      </c>
      <c r="V172" s="190" t="s">
        <v>155</v>
      </c>
    </row>
    <row r="173" spans="1:22" s="47" customFormat="1" x14ac:dyDescent="0.3">
      <c r="A173" s="98">
        <v>17</v>
      </c>
      <c r="B173" s="154" t="str">
        <f t="shared" si="12"/>
        <v xml:space="preserve">Truro, Royal Cornwall Hospital </v>
      </c>
      <c r="C173" s="98"/>
      <c r="D173" s="98"/>
      <c r="E173" s="51"/>
      <c r="F173" s="38"/>
      <c r="G173" s="221" t="s">
        <v>155</v>
      </c>
      <c r="H173" s="221" t="s">
        <v>155</v>
      </c>
      <c r="I173" s="221" t="s">
        <v>155</v>
      </c>
      <c r="J173" s="221" t="s">
        <v>155</v>
      </c>
      <c r="K173" s="221" t="s">
        <v>155</v>
      </c>
      <c r="L173" s="194" t="s">
        <v>155</v>
      </c>
      <c r="M173" s="222" t="s">
        <v>155</v>
      </c>
      <c r="N173" s="222" t="s">
        <v>155</v>
      </c>
      <c r="O173" s="222" t="s">
        <v>155</v>
      </c>
      <c r="P173" s="221" t="s">
        <v>155</v>
      </c>
      <c r="Q173" s="221" t="s">
        <v>155</v>
      </c>
      <c r="R173" s="194" t="s">
        <v>155</v>
      </c>
      <c r="S173" s="222" t="s">
        <v>155</v>
      </c>
      <c r="T173" s="222" t="s">
        <v>155</v>
      </c>
      <c r="U173" s="190" t="s">
        <v>155</v>
      </c>
      <c r="V173" s="190" t="s">
        <v>155</v>
      </c>
    </row>
    <row r="174" spans="1:22" s="47" customFormat="1" x14ac:dyDescent="0.3">
      <c r="B174" s="98"/>
      <c r="D174" s="98"/>
      <c r="E174" s="235">
        <f t="shared" ref="E174:V174" ca="1" si="13">OFFSET(E157,AdultChoice-1,0)</f>
        <v>0</v>
      </c>
      <c r="F174" s="236">
        <f t="shared" ca="1" si="13"/>
        <v>0</v>
      </c>
      <c r="G174" s="50" t="str">
        <f t="shared" ca="1" si="13"/>
        <v>No data</v>
      </c>
      <c r="H174" s="50" t="str">
        <f t="shared" ca="1" si="13"/>
        <v>No data</v>
      </c>
      <c r="I174" s="50" t="str">
        <f t="shared" ca="1" si="13"/>
        <v>No data</v>
      </c>
      <c r="J174" s="50" t="str">
        <f t="shared" ca="1" si="13"/>
        <v>No data</v>
      </c>
      <c r="K174" s="50" t="str">
        <f t="shared" ca="1" si="13"/>
        <v>No data</v>
      </c>
      <c r="L174" s="50" t="str">
        <f t="shared" ca="1" si="13"/>
        <v>No data</v>
      </c>
      <c r="M174" s="50" t="str">
        <f t="shared" ca="1" si="13"/>
        <v>No data</v>
      </c>
      <c r="N174" s="50" t="str">
        <f t="shared" ca="1" si="13"/>
        <v>No data</v>
      </c>
      <c r="O174" s="50" t="str">
        <f t="shared" ca="1" si="13"/>
        <v>No data</v>
      </c>
      <c r="P174" s="50" t="str">
        <f t="shared" ca="1" si="13"/>
        <v>No data</v>
      </c>
      <c r="Q174" s="50" t="str">
        <f t="shared" ca="1" si="13"/>
        <v>No data</v>
      </c>
      <c r="R174" s="50" t="str">
        <f t="shared" ca="1" si="13"/>
        <v>No data</v>
      </c>
      <c r="S174" s="50" t="str">
        <f t="shared" ca="1" si="13"/>
        <v>No data</v>
      </c>
      <c r="T174" s="50" t="str">
        <f t="shared" ca="1" si="13"/>
        <v>No data</v>
      </c>
      <c r="U174" s="112" t="str">
        <f t="shared" ca="1" si="13"/>
        <v>No data</v>
      </c>
      <c r="V174" s="112" t="str">
        <f t="shared" ca="1" si="13"/>
        <v>No data</v>
      </c>
    </row>
    <row r="175" spans="1:22" s="49" customFormat="1" x14ac:dyDescent="0.3">
      <c r="B175" s="97"/>
      <c r="D175" s="97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</row>
    <row r="176" spans="1:22" s="36" customFormat="1" ht="21" x14ac:dyDescent="0.3">
      <c r="A176" s="54" t="s">
        <v>64</v>
      </c>
      <c r="B176" s="54"/>
      <c r="C176" s="53"/>
      <c r="D176" s="53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</row>
    <row r="177" spans="1:22" s="49" customFormat="1" x14ac:dyDescent="0.3">
      <c r="A177" s="2"/>
      <c r="B177" s="2">
        <v>2</v>
      </c>
      <c r="C177" s="2">
        <v>3</v>
      </c>
      <c r="D177" s="2">
        <v>4</v>
      </c>
      <c r="E177" s="2">
        <v>5</v>
      </c>
      <c r="F177" s="2">
        <v>6</v>
      </c>
      <c r="G177" s="2">
        <v>7</v>
      </c>
      <c r="H177" s="2">
        <v>8</v>
      </c>
      <c r="I177" s="2">
        <v>9</v>
      </c>
      <c r="J177" s="2">
        <v>10</v>
      </c>
      <c r="K177" s="2">
        <v>11</v>
      </c>
      <c r="L177" s="2">
        <v>12</v>
      </c>
      <c r="M177" s="2">
        <v>13</v>
      </c>
      <c r="N177" s="2">
        <v>14</v>
      </c>
      <c r="O177" s="2">
        <v>15</v>
      </c>
      <c r="P177" s="2">
        <v>16</v>
      </c>
      <c r="Q177" s="2">
        <v>17</v>
      </c>
      <c r="R177" s="2">
        <v>18</v>
      </c>
      <c r="S177" s="2">
        <v>19</v>
      </c>
      <c r="T177" s="2">
        <v>20</v>
      </c>
      <c r="U177" s="2">
        <v>21</v>
      </c>
      <c r="V177" s="2">
        <v>22</v>
      </c>
    </row>
    <row r="178" spans="1:22" s="47" customFormat="1" x14ac:dyDescent="0.3">
      <c r="A178" s="98"/>
      <c r="B178" s="98"/>
      <c r="C178" s="413" t="s">
        <v>110</v>
      </c>
      <c r="D178" s="413" t="s">
        <v>111</v>
      </c>
      <c r="E178" s="413" t="s">
        <v>0</v>
      </c>
      <c r="F178" s="413" t="s">
        <v>112</v>
      </c>
      <c r="G178" s="413" t="s">
        <v>42</v>
      </c>
      <c r="H178" s="413"/>
      <c r="I178" s="413" t="s">
        <v>43</v>
      </c>
      <c r="J178" s="413"/>
      <c r="K178" s="413"/>
      <c r="L178" s="413"/>
      <c r="M178" s="413"/>
      <c r="N178" s="413"/>
      <c r="O178" s="413"/>
      <c r="P178" s="413"/>
      <c r="Q178" s="413"/>
      <c r="R178" s="413"/>
      <c r="S178" s="413"/>
      <c r="T178" s="413"/>
      <c r="U178" s="413" t="s">
        <v>41</v>
      </c>
      <c r="V178" s="413"/>
    </row>
    <row r="179" spans="1:22" s="47" customFormat="1" x14ac:dyDescent="0.3">
      <c r="A179" s="98"/>
      <c r="B179" s="98"/>
      <c r="C179" s="413"/>
      <c r="D179" s="413"/>
      <c r="E179" s="413"/>
      <c r="F179" s="413"/>
      <c r="G179" s="413" t="s">
        <v>1</v>
      </c>
      <c r="H179" s="413" t="s">
        <v>2</v>
      </c>
      <c r="I179" s="413" t="s">
        <v>1</v>
      </c>
      <c r="J179" s="413"/>
      <c r="K179" s="413"/>
      <c r="L179" s="413"/>
      <c r="M179" s="413"/>
      <c r="N179" s="413"/>
      <c r="O179" s="413" t="s">
        <v>40</v>
      </c>
      <c r="P179" s="413"/>
      <c r="Q179" s="413"/>
      <c r="R179" s="413"/>
      <c r="S179" s="413"/>
      <c r="T179" s="413"/>
      <c r="U179" s="413" t="s">
        <v>1</v>
      </c>
      <c r="V179" s="413" t="s">
        <v>40</v>
      </c>
    </row>
    <row r="180" spans="1:22" s="47" customFormat="1" ht="28.8" x14ac:dyDescent="0.3">
      <c r="A180" s="98"/>
      <c r="B180" s="98"/>
      <c r="C180" s="413"/>
      <c r="D180" s="413"/>
      <c r="E180" s="413"/>
      <c r="F180" s="413"/>
      <c r="G180" s="413"/>
      <c r="H180" s="413"/>
      <c r="I180" s="98" t="s">
        <v>113</v>
      </c>
      <c r="J180" s="98" t="s">
        <v>37</v>
      </c>
      <c r="K180" s="98" t="s">
        <v>38</v>
      </c>
      <c r="L180" s="37" t="s">
        <v>39</v>
      </c>
      <c r="M180" s="98" t="s">
        <v>152</v>
      </c>
      <c r="N180" s="98" t="s">
        <v>115</v>
      </c>
      <c r="O180" s="98" t="s">
        <v>113</v>
      </c>
      <c r="P180" s="98" t="s">
        <v>37</v>
      </c>
      <c r="Q180" s="98" t="s">
        <v>38</v>
      </c>
      <c r="R180" s="37" t="s">
        <v>39</v>
      </c>
      <c r="S180" s="98" t="s">
        <v>114</v>
      </c>
      <c r="T180" s="98" t="s">
        <v>116</v>
      </c>
      <c r="U180" s="413"/>
      <c r="V180" s="413"/>
    </row>
    <row r="181" spans="1:22" s="47" customFormat="1" x14ac:dyDescent="0.3">
      <c r="A181" s="98">
        <v>1</v>
      </c>
      <c r="B181" s="151" t="str">
        <f t="shared" ref="B181:B198" si="14">VLOOKUP(A181,PaedSites,2)</f>
        <v>Aneurin Bevan UHB, Nevill Hall &amp; Royal Gwent Hospitals</v>
      </c>
      <c r="C181" s="98"/>
      <c r="D181" s="98"/>
      <c r="E181" s="51"/>
      <c r="F181" s="38"/>
      <c r="G181" s="221" t="s">
        <v>155</v>
      </c>
      <c r="H181" s="221" t="s">
        <v>155</v>
      </c>
      <c r="I181" s="221" t="s">
        <v>155</v>
      </c>
      <c r="J181" s="221" t="s">
        <v>155</v>
      </c>
      <c r="K181" s="221" t="s">
        <v>155</v>
      </c>
      <c r="L181" s="194" t="s">
        <v>155</v>
      </c>
      <c r="M181" s="222" t="s">
        <v>155</v>
      </c>
      <c r="N181" s="222" t="s">
        <v>155</v>
      </c>
      <c r="O181" s="222" t="s">
        <v>155</v>
      </c>
      <c r="P181" s="221" t="s">
        <v>155</v>
      </c>
      <c r="Q181" s="221" t="s">
        <v>155</v>
      </c>
      <c r="R181" s="194" t="s">
        <v>155</v>
      </c>
      <c r="S181" s="222" t="s">
        <v>155</v>
      </c>
      <c r="T181" s="222" t="s">
        <v>155</v>
      </c>
      <c r="U181" s="190" t="s">
        <v>155</v>
      </c>
      <c r="V181" s="190" t="s">
        <v>155</v>
      </c>
    </row>
    <row r="182" spans="1:22" s="47" customFormat="1" x14ac:dyDescent="0.3">
      <c r="A182" s="98">
        <v>2</v>
      </c>
      <c r="B182" s="151" t="str">
        <f t="shared" si="14"/>
        <v>Cardiff &amp; Vale UHB, Noah’s Ark / University Hospital Wales</v>
      </c>
      <c r="C182" s="98"/>
      <c r="D182" s="98"/>
      <c r="E182" s="51"/>
      <c r="F182" s="38"/>
      <c r="G182" s="221" t="s">
        <v>155</v>
      </c>
      <c r="H182" s="221" t="s">
        <v>155</v>
      </c>
      <c r="I182" s="221" t="s">
        <v>155</v>
      </c>
      <c r="J182" s="221" t="s">
        <v>155</v>
      </c>
      <c r="K182" s="221" t="s">
        <v>155</v>
      </c>
      <c r="L182" s="194" t="s">
        <v>155</v>
      </c>
      <c r="M182" s="222" t="s">
        <v>155</v>
      </c>
      <c r="N182" s="222" t="s">
        <v>155</v>
      </c>
      <c r="O182" s="222" t="s">
        <v>155</v>
      </c>
      <c r="P182" s="221" t="s">
        <v>155</v>
      </c>
      <c r="Q182" s="221" t="s">
        <v>155</v>
      </c>
      <c r="R182" s="194" t="s">
        <v>155</v>
      </c>
      <c r="S182" s="222" t="s">
        <v>155</v>
      </c>
      <c r="T182" s="222" t="s">
        <v>155</v>
      </c>
      <c r="U182" s="190" t="s">
        <v>155</v>
      </c>
      <c r="V182" s="190" t="s">
        <v>155</v>
      </c>
    </row>
    <row r="183" spans="1:22" s="47" customFormat="1" x14ac:dyDescent="0.3">
      <c r="A183" s="98">
        <v>3</v>
      </c>
      <c r="B183" s="151" t="str">
        <f t="shared" si="14"/>
        <v>Cwm Taf Morgannwg UHB, Princess of Wales Hospital</v>
      </c>
      <c r="C183" s="98"/>
      <c r="D183" s="98"/>
      <c r="E183" s="51"/>
      <c r="F183" s="38"/>
      <c r="G183" s="221" t="s">
        <v>155</v>
      </c>
      <c r="H183" s="221" t="s">
        <v>155</v>
      </c>
      <c r="I183" s="221" t="s">
        <v>155</v>
      </c>
      <c r="J183" s="221" t="s">
        <v>155</v>
      </c>
      <c r="K183" s="221" t="s">
        <v>155</v>
      </c>
      <c r="L183" s="194" t="s">
        <v>155</v>
      </c>
      <c r="M183" s="222" t="s">
        <v>155</v>
      </c>
      <c r="N183" s="222" t="s">
        <v>155</v>
      </c>
      <c r="O183" s="222" t="s">
        <v>155</v>
      </c>
      <c r="P183" s="221" t="s">
        <v>155</v>
      </c>
      <c r="Q183" s="221" t="s">
        <v>155</v>
      </c>
      <c r="R183" s="194" t="s">
        <v>155</v>
      </c>
      <c r="S183" s="222" t="s">
        <v>155</v>
      </c>
      <c r="T183" s="222" t="s">
        <v>155</v>
      </c>
      <c r="U183" s="190" t="s">
        <v>155</v>
      </c>
      <c r="V183" s="190" t="s">
        <v>155</v>
      </c>
    </row>
    <row r="184" spans="1:22" s="47" customFormat="1" x14ac:dyDescent="0.3">
      <c r="A184" s="98">
        <v>4</v>
      </c>
      <c r="B184" s="151" t="str">
        <f t="shared" si="14"/>
        <v xml:space="preserve">Cwm Taf Morgannwg UHB, Royal Glamorgan Hospital </v>
      </c>
      <c r="C184" s="98"/>
      <c r="D184" s="98"/>
      <c r="E184" s="51"/>
      <c r="F184" s="38"/>
      <c r="G184" s="221" t="s">
        <v>155</v>
      </c>
      <c r="H184" s="221" t="s">
        <v>155</v>
      </c>
      <c r="I184" s="221" t="s">
        <v>155</v>
      </c>
      <c r="J184" s="221" t="s">
        <v>155</v>
      </c>
      <c r="K184" s="221" t="s">
        <v>155</v>
      </c>
      <c r="L184" s="194" t="s">
        <v>155</v>
      </c>
      <c r="M184" s="222" t="s">
        <v>155</v>
      </c>
      <c r="N184" s="222" t="s">
        <v>155</v>
      </c>
      <c r="O184" s="222" t="s">
        <v>155</v>
      </c>
      <c r="P184" s="221" t="s">
        <v>155</v>
      </c>
      <c r="Q184" s="221" t="s">
        <v>155</v>
      </c>
      <c r="R184" s="194" t="s">
        <v>155</v>
      </c>
      <c r="S184" s="222" t="s">
        <v>155</v>
      </c>
      <c r="T184" s="222" t="s">
        <v>155</v>
      </c>
      <c r="U184" s="190" t="s">
        <v>155</v>
      </c>
      <c r="V184" s="190" t="s">
        <v>155</v>
      </c>
    </row>
    <row r="185" spans="1:22" s="47" customFormat="1" x14ac:dyDescent="0.3">
      <c r="A185" s="98">
        <v>5</v>
      </c>
      <c r="B185" s="151" t="str">
        <f t="shared" si="14"/>
        <v>Cwm Taf Morgannwg UHB, Prince Charles Hospital</v>
      </c>
      <c r="C185" s="98"/>
      <c r="D185" s="98"/>
      <c r="E185" s="51"/>
      <c r="F185" s="38"/>
      <c r="G185" s="221" t="s">
        <v>155</v>
      </c>
      <c r="H185" s="221" t="s">
        <v>155</v>
      </c>
      <c r="I185" s="221" t="s">
        <v>155</v>
      </c>
      <c r="J185" s="221" t="s">
        <v>155</v>
      </c>
      <c r="K185" s="221" t="s">
        <v>155</v>
      </c>
      <c r="L185" s="194" t="s">
        <v>155</v>
      </c>
      <c r="M185" s="222" t="s">
        <v>155</v>
      </c>
      <c r="N185" s="222" t="s">
        <v>155</v>
      </c>
      <c r="O185" s="222" t="s">
        <v>155</v>
      </c>
      <c r="P185" s="221" t="s">
        <v>155</v>
      </c>
      <c r="Q185" s="221" t="s">
        <v>155</v>
      </c>
      <c r="R185" s="194" t="s">
        <v>155</v>
      </c>
      <c r="S185" s="222" t="s">
        <v>155</v>
      </c>
      <c r="T185" s="222" t="s">
        <v>155</v>
      </c>
      <c r="U185" s="190" t="s">
        <v>155</v>
      </c>
      <c r="V185" s="190" t="s">
        <v>155</v>
      </c>
    </row>
    <row r="186" spans="1:22" s="47" customFormat="1" x14ac:dyDescent="0.3">
      <c r="A186" s="98">
        <v>6</v>
      </c>
      <c r="B186" s="151" t="str">
        <f t="shared" si="14"/>
        <v>Hywel Dda UHB, Glangwilli Hospital</v>
      </c>
      <c r="C186" s="98"/>
      <c r="D186" s="98"/>
      <c r="E186" s="51"/>
      <c r="F186" s="38"/>
      <c r="G186" s="221" t="s">
        <v>155</v>
      </c>
      <c r="H186" s="221" t="s">
        <v>155</v>
      </c>
      <c r="I186" s="221" t="s">
        <v>155</v>
      </c>
      <c r="J186" s="221" t="s">
        <v>155</v>
      </c>
      <c r="K186" s="221" t="s">
        <v>155</v>
      </c>
      <c r="L186" s="194" t="s">
        <v>155</v>
      </c>
      <c r="M186" s="222" t="s">
        <v>155</v>
      </c>
      <c r="N186" s="222" t="s">
        <v>155</v>
      </c>
      <c r="O186" s="222" t="s">
        <v>155</v>
      </c>
      <c r="P186" s="221" t="s">
        <v>155</v>
      </c>
      <c r="Q186" s="221" t="s">
        <v>155</v>
      </c>
      <c r="R186" s="194" t="s">
        <v>155</v>
      </c>
      <c r="S186" s="222" t="s">
        <v>155</v>
      </c>
      <c r="T186" s="222" t="s">
        <v>155</v>
      </c>
      <c r="U186" s="190" t="s">
        <v>155</v>
      </c>
      <c r="V186" s="190" t="s">
        <v>155</v>
      </c>
    </row>
    <row r="187" spans="1:22" s="47" customFormat="1" x14ac:dyDescent="0.3">
      <c r="A187" s="98">
        <v>7</v>
      </c>
      <c r="B187" s="151" t="str">
        <f t="shared" si="14"/>
        <v>Hywel Dda UHB, Withybush Hospital</v>
      </c>
      <c r="C187" s="98"/>
      <c r="D187" s="98"/>
      <c r="E187" s="51"/>
      <c r="F187" s="38"/>
      <c r="G187" s="221" t="s">
        <v>155</v>
      </c>
      <c r="H187" s="221" t="s">
        <v>155</v>
      </c>
      <c r="I187" s="221" t="s">
        <v>155</v>
      </c>
      <c r="J187" s="221" t="s">
        <v>155</v>
      </c>
      <c r="K187" s="221" t="s">
        <v>155</v>
      </c>
      <c r="L187" s="194" t="s">
        <v>155</v>
      </c>
      <c r="M187" s="222" t="s">
        <v>155</v>
      </c>
      <c r="N187" s="222" t="s">
        <v>155</v>
      </c>
      <c r="O187" s="222" t="s">
        <v>155</v>
      </c>
      <c r="P187" s="221" t="s">
        <v>155</v>
      </c>
      <c r="Q187" s="221" t="s">
        <v>155</v>
      </c>
      <c r="R187" s="194" t="s">
        <v>155</v>
      </c>
      <c r="S187" s="222" t="s">
        <v>155</v>
      </c>
      <c r="T187" s="222" t="s">
        <v>155</v>
      </c>
      <c r="U187" s="190" t="s">
        <v>155</v>
      </c>
      <c r="V187" s="190" t="s">
        <v>155</v>
      </c>
    </row>
    <row r="188" spans="1:22" x14ac:dyDescent="0.3">
      <c r="A188" s="98">
        <v>8</v>
      </c>
      <c r="B188" s="151" t="str">
        <f t="shared" si="14"/>
        <v>Swansea Bay UHB, Morriston / Singleton Hospitals</v>
      </c>
      <c r="C188" s="98"/>
      <c r="D188" s="98"/>
      <c r="E188" s="51"/>
      <c r="F188" s="38"/>
      <c r="G188" s="221" t="s">
        <v>155</v>
      </c>
      <c r="H188" s="221" t="s">
        <v>155</v>
      </c>
      <c r="I188" s="221" t="s">
        <v>155</v>
      </c>
      <c r="J188" s="221" t="s">
        <v>155</v>
      </c>
      <c r="K188" s="221" t="s">
        <v>155</v>
      </c>
      <c r="L188" s="194" t="s">
        <v>155</v>
      </c>
      <c r="M188" s="222" t="s">
        <v>155</v>
      </c>
      <c r="N188" s="222" t="s">
        <v>155</v>
      </c>
      <c r="O188" s="222" t="s">
        <v>155</v>
      </c>
      <c r="P188" s="221" t="s">
        <v>155</v>
      </c>
      <c r="Q188" s="221" t="s">
        <v>155</v>
      </c>
      <c r="R188" s="194" t="s">
        <v>155</v>
      </c>
      <c r="S188" s="222" t="s">
        <v>155</v>
      </c>
      <c r="T188" s="222" t="s">
        <v>155</v>
      </c>
      <c r="U188" s="190" t="s">
        <v>155</v>
      </c>
      <c r="V188" s="190" t="s">
        <v>155</v>
      </c>
    </row>
    <row r="189" spans="1:22" x14ac:dyDescent="0.3">
      <c r="A189" s="98">
        <v>9</v>
      </c>
      <c r="B189" s="151" t="str">
        <f t="shared" si="14"/>
        <v xml:space="preserve">Barnstaple, North Devon District Hospital </v>
      </c>
      <c r="C189" s="98"/>
      <c r="D189" s="98"/>
      <c r="E189" s="51"/>
      <c r="F189" s="38"/>
      <c r="G189" s="221" t="s">
        <v>155</v>
      </c>
      <c r="H189" s="221" t="s">
        <v>155</v>
      </c>
      <c r="I189" s="221" t="s">
        <v>155</v>
      </c>
      <c r="J189" s="221" t="s">
        <v>155</v>
      </c>
      <c r="K189" s="221" t="s">
        <v>155</v>
      </c>
      <c r="L189" s="194" t="s">
        <v>155</v>
      </c>
      <c r="M189" s="222" t="s">
        <v>155</v>
      </c>
      <c r="N189" s="222" t="s">
        <v>155</v>
      </c>
      <c r="O189" s="222" t="s">
        <v>155</v>
      </c>
      <c r="P189" s="221" t="s">
        <v>155</v>
      </c>
      <c r="Q189" s="221" t="s">
        <v>155</v>
      </c>
      <c r="R189" s="194" t="s">
        <v>155</v>
      </c>
      <c r="S189" s="222" t="s">
        <v>155</v>
      </c>
      <c r="T189" s="222" t="s">
        <v>155</v>
      </c>
      <c r="U189" s="190" t="s">
        <v>155</v>
      </c>
      <c r="V189" s="190" t="s">
        <v>155</v>
      </c>
    </row>
    <row r="190" spans="1:22" x14ac:dyDescent="0.3">
      <c r="A190" s="98">
        <v>10</v>
      </c>
      <c r="B190" s="151" t="str">
        <f t="shared" si="14"/>
        <v xml:space="preserve">Bath, Royal United Hospital </v>
      </c>
      <c r="C190" s="98"/>
      <c r="D190" s="98"/>
      <c r="E190" s="51"/>
      <c r="F190" s="38"/>
      <c r="G190" s="221" t="s">
        <v>155</v>
      </c>
      <c r="H190" s="221" t="s">
        <v>155</v>
      </c>
      <c r="I190" s="221" t="s">
        <v>155</v>
      </c>
      <c r="J190" s="221" t="s">
        <v>155</v>
      </c>
      <c r="K190" s="221" t="s">
        <v>155</v>
      </c>
      <c r="L190" s="194" t="s">
        <v>155</v>
      </c>
      <c r="M190" s="222" t="s">
        <v>155</v>
      </c>
      <c r="N190" s="222" t="s">
        <v>155</v>
      </c>
      <c r="O190" s="222" t="s">
        <v>155</v>
      </c>
      <c r="P190" s="221" t="s">
        <v>155</v>
      </c>
      <c r="Q190" s="221" t="s">
        <v>155</v>
      </c>
      <c r="R190" s="194" t="s">
        <v>155</v>
      </c>
      <c r="S190" s="222" t="s">
        <v>155</v>
      </c>
      <c r="T190" s="222" t="s">
        <v>155</v>
      </c>
      <c r="U190" s="190" t="s">
        <v>155</v>
      </c>
      <c r="V190" s="190" t="s">
        <v>155</v>
      </c>
    </row>
    <row r="191" spans="1:22" x14ac:dyDescent="0.3">
      <c r="A191" s="98">
        <v>11</v>
      </c>
      <c r="B191" s="151" t="str">
        <f t="shared" si="14"/>
        <v>Bristol, Bristol Heart Institute / Bristol Royal Hospital for Children</v>
      </c>
      <c r="C191" s="98"/>
      <c r="D191" s="98"/>
      <c r="E191" s="51"/>
      <c r="F191" s="38"/>
      <c r="G191" s="221" t="s">
        <v>155</v>
      </c>
      <c r="H191" s="221" t="s">
        <v>155</v>
      </c>
      <c r="I191" s="221" t="s">
        <v>155</v>
      </c>
      <c r="J191" s="221" t="s">
        <v>155</v>
      </c>
      <c r="K191" s="221" t="s">
        <v>155</v>
      </c>
      <c r="L191" s="194" t="s">
        <v>155</v>
      </c>
      <c r="M191" s="222" t="s">
        <v>155</v>
      </c>
      <c r="N191" s="222" t="s">
        <v>155</v>
      </c>
      <c r="O191" s="222" t="s">
        <v>155</v>
      </c>
      <c r="P191" s="221" t="s">
        <v>155</v>
      </c>
      <c r="Q191" s="221" t="s">
        <v>155</v>
      </c>
      <c r="R191" s="194" t="s">
        <v>155</v>
      </c>
      <c r="S191" s="222" t="s">
        <v>155</v>
      </c>
      <c r="T191" s="222" t="s">
        <v>155</v>
      </c>
      <c r="U191" s="190" t="s">
        <v>155</v>
      </c>
      <c r="V191" s="190" t="s">
        <v>155</v>
      </c>
    </row>
    <row r="192" spans="1:22" x14ac:dyDescent="0.3">
      <c r="A192" s="98">
        <v>12</v>
      </c>
      <c r="B192" s="151" t="str">
        <f t="shared" si="14"/>
        <v xml:space="preserve">Exeter, Royal Devon and Exeter Hospital </v>
      </c>
      <c r="C192" s="98"/>
      <c r="D192" s="98"/>
      <c r="E192" s="51"/>
      <c r="F192" s="38"/>
      <c r="G192" s="221" t="s">
        <v>155</v>
      </c>
      <c r="H192" s="221" t="s">
        <v>155</v>
      </c>
      <c r="I192" s="221" t="s">
        <v>155</v>
      </c>
      <c r="J192" s="221" t="s">
        <v>155</v>
      </c>
      <c r="K192" s="221" t="s">
        <v>155</v>
      </c>
      <c r="L192" s="194" t="s">
        <v>155</v>
      </c>
      <c r="M192" s="222" t="s">
        <v>155</v>
      </c>
      <c r="N192" s="222" t="s">
        <v>155</v>
      </c>
      <c r="O192" s="222" t="s">
        <v>155</v>
      </c>
      <c r="P192" s="221" t="s">
        <v>155</v>
      </c>
      <c r="Q192" s="221" t="s">
        <v>155</v>
      </c>
      <c r="R192" s="194" t="s">
        <v>155</v>
      </c>
      <c r="S192" s="222" t="s">
        <v>155</v>
      </c>
      <c r="T192" s="222" t="s">
        <v>155</v>
      </c>
      <c r="U192" s="190" t="s">
        <v>155</v>
      </c>
      <c r="V192" s="190" t="s">
        <v>155</v>
      </c>
    </row>
    <row r="193" spans="1:22" x14ac:dyDescent="0.3">
      <c r="A193" s="98">
        <v>13</v>
      </c>
      <c r="B193" s="151" t="str">
        <f t="shared" si="14"/>
        <v>Gloucester, Gloucestershire Hospitals</v>
      </c>
      <c r="C193" s="98"/>
      <c r="D193" s="98"/>
      <c r="E193" s="51"/>
      <c r="F193" s="38"/>
      <c r="G193" s="221" t="s">
        <v>155</v>
      </c>
      <c r="H193" s="221" t="s">
        <v>155</v>
      </c>
      <c r="I193" s="221" t="s">
        <v>155</v>
      </c>
      <c r="J193" s="221" t="s">
        <v>155</v>
      </c>
      <c r="K193" s="221" t="s">
        <v>155</v>
      </c>
      <c r="L193" s="194" t="s">
        <v>155</v>
      </c>
      <c r="M193" s="222" t="s">
        <v>155</v>
      </c>
      <c r="N193" s="222" t="s">
        <v>155</v>
      </c>
      <c r="O193" s="222" t="s">
        <v>155</v>
      </c>
      <c r="P193" s="221" t="s">
        <v>155</v>
      </c>
      <c r="Q193" s="221" t="s">
        <v>155</v>
      </c>
      <c r="R193" s="194" t="s">
        <v>155</v>
      </c>
      <c r="S193" s="222" t="s">
        <v>155</v>
      </c>
      <c r="T193" s="222" t="s">
        <v>155</v>
      </c>
      <c r="U193" s="190" t="s">
        <v>155</v>
      </c>
      <c r="V193" s="190" t="s">
        <v>155</v>
      </c>
    </row>
    <row r="194" spans="1:22" x14ac:dyDescent="0.3">
      <c r="A194" s="98">
        <v>14</v>
      </c>
      <c r="B194" s="151" t="str">
        <f t="shared" si="14"/>
        <v xml:space="preserve">Plymouth, Derriford Hospital </v>
      </c>
      <c r="C194" s="98"/>
      <c r="D194" s="98"/>
      <c r="E194" s="51"/>
      <c r="F194" s="38"/>
      <c r="G194" s="221" t="s">
        <v>155</v>
      </c>
      <c r="H194" s="221" t="s">
        <v>155</v>
      </c>
      <c r="I194" s="221" t="s">
        <v>155</v>
      </c>
      <c r="J194" s="221" t="s">
        <v>155</v>
      </c>
      <c r="K194" s="221" t="s">
        <v>155</v>
      </c>
      <c r="L194" s="194" t="s">
        <v>155</v>
      </c>
      <c r="M194" s="222" t="s">
        <v>155</v>
      </c>
      <c r="N194" s="222" t="s">
        <v>155</v>
      </c>
      <c r="O194" s="222" t="s">
        <v>155</v>
      </c>
      <c r="P194" s="221" t="s">
        <v>155</v>
      </c>
      <c r="Q194" s="221" t="s">
        <v>155</v>
      </c>
      <c r="R194" s="194" t="s">
        <v>155</v>
      </c>
      <c r="S194" s="222" t="s">
        <v>155</v>
      </c>
      <c r="T194" s="222" t="s">
        <v>155</v>
      </c>
      <c r="U194" s="190" t="s">
        <v>155</v>
      </c>
      <c r="V194" s="190" t="s">
        <v>155</v>
      </c>
    </row>
    <row r="195" spans="1:22" x14ac:dyDescent="0.3">
      <c r="A195" s="98">
        <v>15</v>
      </c>
      <c r="B195" s="151" t="str">
        <f t="shared" si="14"/>
        <v xml:space="preserve">Swindon, Great Weston Hospital </v>
      </c>
      <c r="C195" s="98"/>
      <c r="D195" s="98"/>
      <c r="E195" s="51"/>
      <c r="F195" s="38"/>
      <c r="G195" s="221" t="s">
        <v>155</v>
      </c>
      <c r="H195" s="221" t="s">
        <v>155</v>
      </c>
      <c r="I195" s="221" t="s">
        <v>155</v>
      </c>
      <c r="J195" s="221" t="s">
        <v>155</v>
      </c>
      <c r="K195" s="221" t="s">
        <v>155</v>
      </c>
      <c r="L195" s="194" t="s">
        <v>155</v>
      </c>
      <c r="M195" s="222" t="s">
        <v>155</v>
      </c>
      <c r="N195" s="222" t="s">
        <v>155</v>
      </c>
      <c r="O195" s="222" t="s">
        <v>155</v>
      </c>
      <c r="P195" s="221" t="s">
        <v>155</v>
      </c>
      <c r="Q195" s="221" t="s">
        <v>155</v>
      </c>
      <c r="R195" s="194" t="s">
        <v>155</v>
      </c>
      <c r="S195" s="222" t="s">
        <v>155</v>
      </c>
      <c r="T195" s="222" t="s">
        <v>155</v>
      </c>
      <c r="U195" s="190" t="s">
        <v>155</v>
      </c>
      <c r="V195" s="190" t="s">
        <v>155</v>
      </c>
    </row>
    <row r="196" spans="1:22" x14ac:dyDescent="0.3">
      <c r="A196" s="98">
        <v>16</v>
      </c>
      <c r="B196" s="151" t="str">
        <f t="shared" si="14"/>
        <v xml:space="preserve">Taunton, Musgrove Park Hospital </v>
      </c>
      <c r="C196" s="98"/>
      <c r="D196" s="98"/>
      <c r="E196" s="51"/>
      <c r="F196" s="38"/>
      <c r="G196" s="221" t="s">
        <v>155</v>
      </c>
      <c r="H196" s="221" t="s">
        <v>155</v>
      </c>
      <c r="I196" s="221" t="s">
        <v>155</v>
      </c>
      <c r="J196" s="221" t="s">
        <v>155</v>
      </c>
      <c r="K196" s="221" t="s">
        <v>155</v>
      </c>
      <c r="L196" s="194" t="s">
        <v>155</v>
      </c>
      <c r="M196" s="222" t="s">
        <v>155</v>
      </c>
      <c r="N196" s="222" t="s">
        <v>155</v>
      </c>
      <c r="O196" s="222" t="s">
        <v>155</v>
      </c>
      <c r="P196" s="221" t="s">
        <v>155</v>
      </c>
      <c r="Q196" s="221" t="s">
        <v>155</v>
      </c>
      <c r="R196" s="194" t="s">
        <v>155</v>
      </c>
      <c r="S196" s="222" t="s">
        <v>155</v>
      </c>
      <c r="T196" s="222" t="s">
        <v>155</v>
      </c>
      <c r="U196" s="190" t="s">
        <v>155</v>
      </c>
      <c r="V196" s="190" t="s">
        <v>155</v>
      </c>
    </row>
    <row r="197" spans="1:22" x14ac:dyDescent="0.3">
      <c r="A197" s="98">
        <v>17</v>
      </c>
      <c r="B197" s="151" t="str">
        <f t="shared" si="14"/>
        <v xml:space="preserve">Torquay, Torbay General District Hospital </v>
      </c>
      <c r="G197" s="221" t="s">
        <v>155</v>
      </c>
      <c r="H197" s="221" t="s">
        <v>155</v>
      </c>
      <c r="I197" s="221" t="s">
        <v>155</v>
      </c>
      <c r="J197" s="221" t="s">
        <v>155</v>
      </c>
      <c r="K197" s="221" t="s">
        <v>155</v>
      </c>
      <c r="L197" s="194" t="s">
        <v>155</v>
      </c>
      <c r="M197" s="222" t="s">
        <v>155</v>
      </c>
      <c r="N197" s="222" t="s">
        <v>155</v>
      </c>
      <c r="O197" s="222" t="s">
        <v>155</v>
      </c>
      <c r="P197" s="221" t="s">
        <v>155</v>
      </c>
      <c r="Q197" s="221" t="s">
        <v>155</v>
      </c>
      <c r="R197" s="194" t="s">
        <v>155</v>
      </c>
      <c r="S197" s="222" t="s">
        <v>155</v>
      </c>
      <c r="T197" s="222" t="s">
        <v>155</v>
      </c>
      <c r="U197" s="190" t="s">
        <v>155</v>
      </c>
      <c r="V197" s="190" t="s">
        <v>155</v>
      </c>
    </row>
    <row r="198" spans="1:22" x14ac:dyDescent="0.3">
      <c r="A198" s="98">
        <v>18</v>
      </c>
      <c r="B198" s="154" t="str">
        <f t="shared" si="14"/>
        <v xml:space="preserve">Truro, Royal Cornwall Hospital </v>
      </c>
      <c r="C198" s="98"/>
      <c r="D198" s="98"/>
      <c r="E198" s="51"/>
      <c r="F198" s="38"/>
      <c r="G198" s="221" t="s">
        <v>155</v>
      </c>
      <c r="H198" s="221" t="s">
        <v>155</v>
      </c>
      <c r="I198" s="221" t="s">
        <v>155</v>
      </c>
      <c r="J198" s="221" t="s">
        <v>155</v>
      </c>
      <c r="K198" s="221" t="s">
        <v>155</v>
      </c>
      <c r="L198" s="194" t="s">
        <v>155</v>
      </c>
      <c r="M198" s="222" t="s">
        <v>155</v>
      </c>
      <c r="N198" s="222" t="s">
        <v>155</v>
      </c>
      <c r="O198" s="222" t="s">
        <v>155</v>
      </c>
      <c r="P198" s="221" t="s">
        <v>155</v>
      </c>
      <c r="Q198" s="221" t="s">
        <v>155</v>
      </c>
      <c r="R198" s="194" t="s">
        <v>155</v>
      </c>
      <c r="S198" s="222" t="s">
        <v>155</v>
      </c>
      <c r="T198" s="222" t="s">
        <v>155</v>
      </c>
      <c r="U198" s="190" t="s">
        <v>155</v>
      </c>
      <c r="V198" s="190" t="s">
        <v>155</v>
      </c>
    </row>
    <row r="199" spans="1:22" x14ac:dyDescent="0.3">
      <c r="C199" s="48"/>
      <c r="D199" s="48"/>
      <c r="E199" s="6">
        <f t="shared" ref="E199:V199" ca="1" si="15">OFFSET(E181,PaedChoice-1,0)</f>
        <v>0</v>
      </c>
      <c r="F199" s="6">
        <f t="shared" ca="1" si="15"/>
        <v>0</v>
      </c>
      <c r="G199" s="5" t="str">
        <f t="shared" ca="1" si="15"/>
        <v>No data</v>
      </c>
      <c r="H199" s="5" t="str">
        <f t="shared" ca="1" si="15"/>
        <v>No data</v>
      </c>
      <c r="I199" s="5" t="str">
        <f t="shared" ca="1" si="15"/>
        <v>No data</v>
      </c>
      <c r="J199" s="5" t="str">
        <f t="shared" ca="1" si="15"/>
        <v>No data</v>
      </c>
      <c r="K199" s="5" t="str">
        <f t="shared" ca="1" si="15"/>
        <v>No data</v>
      </c>
      <c r="L199" s="5" t="str">
        <f t="shared" ca="1" si="15"/>
        <v>No data</v>
      </c>
      <c r="M199" s="5" t="str">
        <f t="shared" ca="1" si="15"/>
        <v>No data</v>
      </c>
      <c r="N199" s="5" t="str">
        <f t="shared" ca="1" si="15"/>
        <v>No data</v>
      </c>
      <c r="O199" s="5" t="str">
        <f t="shared" ca="1" si="15"/>
        <v>No data</v>
      </c>
      <c r="P199" s="5" t="str">
        <f t="shared" ca="1" si="15"/>
        <v>No data</v>
      </c>
      <c r="Q199" s="5" t="str">
        <f t="shared" ca="1" si="15"/>
        <v>No data</v>
      </c>
      <c r="R199" s="5" t="str">
        <f t="shared" ca="1" si="15"/>
        <v>No data</v>
      </c>
      <c r="S199" s="5" t="str">
        <f t="shared" ca="1" si="15"/>
        <v>No data</v>
      </c>
      <c r="T199" s="5" t="str">
        <f t="shared" ca="1" si="15"/>
        <v>No data</v>
      </c>
      <c r="U199" s="234" t="str">
        <f t="shared" ca="1" si="15"/>
        <v>No data</v>
      </c>
      <c r="V199" s="234" t="str">
        <f t="shared" ca="1" si="15"/>
        <v>No data</v>
      </c>
    </row>
    <row r="200" spans="1:22" s="48" customFormat="1" x14ac:dyDescent="0.3">
      <c r="C200" s="55"/>
      <c r="D200" s="55"/>
      <c r="E200" s="55"/>
      <c r="F200" s="55"/>
    </row>
    <row r="201" spans="1:22" s="48" customFormat="1" x14ac:dyDescent="0.3">
      <c r="C201" s="55"/>
      <c r="D201" s="55"/>
      <c r="E201" s="55"/>
      <c r="F201" s="55"/>
    </row>
    <row r="202" spans="1:22" s="48" customFormat="1" x14ac:dyDescent="0.3">
      <c r="C202" s="55"/>
      <c r="D202" s="55"/>
      <c r="E202" s="55"/>
      <c r="F202" s="55"/>
    </row>
  </sheetData>
  <mergeCells count="104">
    <mergeCell ref="C178:C180"/>
    <mergeCell ref="C78:C80"/>
    <mergeCell ref="G179:G180"/>
    <mergeCell ref="H179:H180"/>
    <mergeCell ref="D154:D156"/>
    <mergeCell ref="F154:F156"/>
    <mergeCell ref="D178:D180"/>
    <mergeCell ref="F178:F180"/>
    <mergeCell ref="G78:H78"/>
    <mergeCell ref="C154:C156"/>
    <mergeCell ref="G155:G156"/>
    <mergeCell ref="H155:H156"/>
    <mergeCell ref="G129:G130"/>
    <mergeCell ref="H129:H130"/>
    <mergeCell ref="E178:E180"/>
    <mergeCell ref="G178:H178"/>
    <mergeCell ref="G128:H128"/>
    <mergeCell ref="E154:E156"/>
    <mergeCell ref="G154:H154"/>
    <mergeCell ref="C28:C30"/>
    <mergeCell ref="D28:D30"/>
    <mergeCell ref="D54:D56"/>
    <mergeCell ref="C54:C56"/>
    <mergeCell ref="C104:C106"/>
    <mergeCell ref="E104:E106"/>
    <mergeCell ref="D104:D106"/>
    <mergeCell ref="F104:F106"/>
    <mergeCell ref="D128:D130"/>
    <mergeCell ref="F128:F130"/>
    <mergeCell ref="E78:E80"/>
    <mergeCell ref="C128:C130"/>
    <mergeCell ref="E128:E130"/>
    <mergeCell ref="V155:V156"/>
    <mergeCell ref="U128:V128"/>
    <mergeCell ref="U129:U130"/>
    <mergeCell ref="U178:V178"/>
    <mergeCell ref="U179:U180"/>
    <mergeCell ref="V179:V180"/>
    <mergeCell ref="I154:T154"/>
    <mergeCell ref="I155:N155"/>
    <mergeCell ref="O155:T155"/>
    <mergeCell ref="V129:V130"/>
    <mergeCell ref="I128:T128"/>
    <mergeCell ref="I129:N129"/>
    <mergeCell ref="O129:T129"/>
    <mergeCell ref="I178:T178"/>
    <mergeCell ref="I179:N179"/>
    <mergeCell ref="O179:T179"/>
    <mergeCell ref="U154:V154"/>
    <mergeCell ref="U155:U156"/>
    <mergeCell ref="C4:C6"/>
    <mergeCell ref="E4:E6"/>
    <mergeCell ref="U5:U6"/>
    <mergeCell ref="U4:V4"/>
    <mergeCell ref="D4:D6"/>
    <mergeCell ref="F4:F6"/>
    <mergeCell ref="I5:N5"/>
    <mergeCell ref="O5:T5"/>
    <mergeCell ref="I4:T4"/>
    <mergeCell ref="G4:H4"/>
    <mergeCell ref="V5:V6"/>
    <mergeCell ref="G5:G6"/>
    <mergeCell ref="H5:H6"/>
    <mergeCell ref="U28:V28"/>
    <mergeCell ref="H29:H30"/>
    <mergeCell ref="U29:U30"/>
    <mergeCell ref="V29:V30"/>
    <mergeCell ref="U54:V54"/>
    <mergeCell ref="D78:D80"/>
    <mergeCell ref="F78:F80"/>
    <mergeCell ref="E54:E56"/>
    <mergeCell ref="G54:H54"/>
    <mergeCell ref="G55:G56"/>
    <mergeCell ref="E28:E30"/>
    <mergeCell ref="G28:H28"/>
    <mergeCell ref="H55:H56"/>
    <mergeCell ref="F28:F30"/>
    <mergeCell ref="I28:T28"/>
    <mergeCell ref="I29:N29"/>
    <mergeCell ref="O29:T29"/>
    <mergeCell ref="F54:F56"/>
    <mergeCell ref="I54:T54"/>
    <mergeCell ref="I55:N55"/>
    <mergeCell ref="O55:T55"/>
    <mergeCell ref="G29:G30"/>
    <mergeCell ref="U78:V78"/>
    <mergeCell ref="G79:G80"/>
    <mergeCell ref="I104:T104"/>
    <mergeCell ref="G104:H104"/>
    <mergeCell ref="U104:V104"/>
    <mergeCell ref="U105:U106"/>
    <mergeCell ref="V105:V106"/>
    <mergeCell ref="U55:U56"/>
    <mergeCell ref="V55:V56"/>
    <mergeCell ref="G105:G106"/>
    <mergeCell ref="H105:H106"/>
    <mergeCell ref="I78:T78"/>
    <mergeCell ref="I79:N79"/>
    <mergeCell ref="O79:T79"/>
    <mergeCell ref="H79:H80"/>
    <mergeCell ref="U79:U80"/>
    <mergeCell ref="V79:V80"/>
    <mergeCell ref="I105:N105"/>
    <mergeCell ref="O105:T105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</sheetPr>
  <dimension ref="A1:P111"/>
  <sheetViews>
    <sheetView zoomScale="90" zoomScaleNormal="90" workbookViewId="0">
      <selection activeCell="H116" sqref="H116"/>
    </sheetView>
  </sheetViews>
  <sheetFormatPr defaultColWidth="8.6640625" defaultRowHeight="14.4" x14ac:dyDescent="0.3"/>
  <cols>
    <col min="1" max="16" width="12.33203125" style="33" customWidth="1"/>
    <col min="17" max="16384" width="8.6640625" style="33"/>
  </cols>
  <sheetData>
    <row r="1" spans="1:12" ht="23.4" x14ac:dyDescent="0.45">
      <c r="B1" s="164" t="s">
        <v>151</v>
      </c>
    </row>
    <row r="3" spans="1:12" x14ac:dyDescent="0.3">
      <c r="A3" s="195"/>
      <c r="B3" s="34" t="s">
        <v>147</v>
      </c>
      <c r="E3" s="195"/>
    </row>
    <row r="4" spans="1:12" x14ac:dyDescent="0.3">
      <c r="A4" s="195"/>
      <c r="B4" s="34" t="s">
        <v>148</v>
      </c>
      <c r="E4" s="195"/>
    </row>
    <row r="5" spans="1:12" x14ac:dyDescent="0.3">
      <c r="A5" s="195"/>
      <c r="B5" s="34" t="s">
        <v>149</v>
      </c>
      <c r="E5" s="195"/>
    </row>
    <row r="6" spans="1:12" s="101" customFormat="1" ht="21" x14ac:dyDescent="0.4">
      <c r="A6" s="196"/>
      <c r="B6" s="100" t="s">
        <v>106</v>
      </c>
      <c r="E6" s="196"/>
    </row>
    <row r="7" spans="1:12" s="103" customFormat="1" ht="43.5" customHeight="1" x14ac:dyDescent="0.4">
      <c r="A7" s="197"/>
      <c r="B7" s="104" t="s">
        <v>156</v>
      </c>
      <c r="E7" s="197"/>
    </row>
    <row r="8" spans="1:12" x14ac:dyDescent="0.3">
      <c r="B8" s="34" t="s">
        <v>188</v>
      </c>
      <c r="H8" s="195"/>
      <c r="I8" s="198" t="s">
        <v>53</v>
      </c>
      <c r="J8" s="195"/>
      <c r="K8" s="195"/>
      <c r="L8" s="195"/>
    </row>
    <row r="9" spans="1:12" ht="28.8" x14ac:dyDescent="0.3">
      <c r="A9" s="144"/>
      <c r="B9" s="157"/>
      <c r="C9" s="149" t="s">
        <v>9</v>
      </c>
      <c r="D9" s="149" t="s">
        <v>17</v>
      </c>
      <c r="E9" s="150" t="s">
        <v>33</v>
      </c>
      <c r="H9" s="144"/>
      <c r="I9" s="140"/>
      <c r="J9" s="149" t="s">
        <v>9</v>
      </c>
      <c r="K9" s="149" t="s">
        <v>17</v>
      </c>
      <c r="L9" s="150" t="s">
        <v>33</v>
      </c>
    </row>
    <row r="10" spans="1:12" x14ac:dyDescent="0.3">
      <c r="A10" s="145">
        <v>6</v>
      </c>
      <c r="B10" s="151" t="s">
        <v>165</v>
      </c>
      <c r="C10" s="152" t="e">
        <f t="shared" ref="C10:C27" si="0">IF(INDEX(Q1_Paeds,4+$A10,7)="No data",NA(),INDEX(Q1_Paeds,4+$A10,7))</f>
        <v>#N/A</v>
      </c>
      <c r="D10" s="152" t="e">
        <f t="shared" ref="D10:D27" si="1">IF(INDEX(Q1_Paeds,4+$A10,8)="No data",NA(),INDEX(Q1_Paeds,4+$A10,8))</f>
        <v>#N/A</v>
      </c>
      <c r="E10" s="153" t="e">
        <f t="shared" ref="E10:E27" si="2">MAX(C10:D10)</f>
        <v>#N/A</v>
      </c>
      <c r="H10" s="145">
        <v>2</v>
      </c>
      <c r="I10" s="151" t="s">
        <v>158</v>
      </c>
      <c r="J10" s="152" t="e">
        <f t="shared" ref="J10:J26" si="3">IF(INDEX(Q1_Adult,4+$H10,7)="No data",NA(),INDEX(Q1_Adult,4+$H10,7))</f>
        <v>#N/A</v>
      </c>
      <c r="K10" s="152" t="e">
        <f t="shared" ref="K10:K26" si="4">IF(INDEX(Q1_Adult,4+$H10,8)="No data",NA(),INDEX(Q1_Adult,4+$H10,8))</f>
        <v>#N/A</v>
      </c>
      <c r="L10" s="153" t="e">
        <f t="shared" ref="L10:L26" si="5">MAX(J10:K10)</f>
        <v>#N/A</v>
      </c>
    </row>
    <row r="11" spans="1:12" x14ac:dyDescent="0.3">
      <c r="A11" s="145">
        <v>9</v>
      </c>
      <c r="B11" s="151" t="s">
        <v>58</v>
      </c>
      <c r="C11" s="152" t="e">
        <f t="shared" si="0"/>
        <v>#N/A</v>
      </c>
      <c r="D11" s="152" t="e">
        <f t="shared" si="1"/>
        <v>#N/A</v>
      </c>
      <c r="E11" s="153" t="e">
        <f t="shared" si="2"/>
        <v>#N/A</v>
      </c>
      <c r="H11" s="145">
        <v>11</v>
      </c>
      <c r="I11" s="151" t="s">
        <v>60</v>
      </c>
      <c r="J11" s="152" t="e">
        <f t="shared" si="3"/>
        <v>#N/A</v>
      </c>
      <c r="K11" s="152" t="e">
        <f t="shared" si="4"/>
        <v>#N/A</v>
      </c>
      <c r="L11" s="153" t="e">
        <f t="shared" si="5"/>
        <v>#N/A</v>
      </c>
    </row>
    <row r="12" spans="1:12" x14ac:dyDescent="0.3">
      <c r="A12" s="145">
        <v>14</v>
      </c>
      <c r="B12" s="151" t="s">
        <v>61</v>
      </c>
      <c r="C12" s="152" t="e">
        <f t="shared" si="0"/>
        <v>#N/A</v>
      </c>
      <c r="D12" s="152" t="e">
        <f t="shared" si="1"/>
        <v>#N/A</v>
      </c>
      <c r="E12" s="153" t="e">
        <f t="shared" si="2"/>
        <v>#N/A</v>
      </c>
      <c r="H12" s="145">
        <v>13</v>
      </c>
      <c r="I12" s="151" t="s">
        <v>61</v>
      </c>
      <c r="J12" s="152" t="e">
        <f t="shared" si="3"/>
        <v>#N/A</v>
      </c>
      <c r="K12" s="152" t="e">
        <f t="shared" si="4"/>
        <v>#N/A</v>
      </c>
      <c r="L12" s="153" t="e">
        <f t="shared" si="5"/>
        <v>#N/A</v>
      </c>
    </row>
    <row r="13" spans="1:12" x14ac:dyDescent="0.3">
      <c r="A13" s="145">
        <v>18</v>
      </c>
      <c r="B13" s="151" t="s">
        <v>62</v>
      </c>
      <c r="C13" s="152" t="e">
        <f t="shared" si="0"/>
        <v>#N/A</v>
      </c>
      <c r="D13" s="152" t="e">
        <f t="shared" si="1"/>
        <v>#N/A</v>
      </c>
      <c r="E13" s="153" t="e">
        <f t="shared" si="2"/>
        <v>#N/A</v>
      </c>
      <c r="H13" s="145">
        <v>14</v>
      </c>
      <c r="I13" s="151" t="s">
        <v>52</v>
      </c>
      <c r="J13" s="152" t="e">
        <f t="shared" si="3"/>
        <v>#N/A</v>
      </c>
      <c r="K13" s="152" t="e">
        <f t="shared" si="4"/>
        <v>#N/A</v>
      </c>
      <c r="L13" s="153" t="e">
        <f t="shared" si="5"/>
        <v>#N/A</v>
      </c>
    </row>
    <row r="14" spans="1:12" x14ac:dyDescent="0.3">
      <c r="A14" s="145">
        <v>3</v>
      </c>
      <c r="B14" s="151" t="s">
        <v>159</v>
      </c>
      <c r="C14" s="152">
        <f t="shared" si="0"/>
        <v>0</v>
      </c>
      <c r="D14" s="152">
        <f t="shared" si="1"/>
        <v>0</v>
      </c>
      <c r="E14" s="153">
        <f t="shared" si="2"/>
        <v>0</v>
      </c>
      <c r="H14" s="145">
        <v>17</v>
      </c>
      <c r="I14" s="151" t="s">
        <v>62</v>
      </c>
      <c r="J14" s="152" t="e">
        <f t="shared" si="3"/>
        <v>#N/A</v>
      </c>
      <c r="K14" s="152" t="e">
        <f t="shared" si="4"/>
        <v>#N/A</v>
      </c>
      <c r="L14" s="153" t="e">
        <f t="shared" si="5"/>
        <v>#N/A</v>
      </c>
    </row>
    <row r="15" spans="1:12" x14ac:dyDescent="0.3">
      <c r="A15" s="145">
        <v>15</v>
      </c>
      <c r="B15" s="151" t="s">
        <v>52</v>
      </c>
      <c r="C15" s="152">
        <f t="shared" si="0"/>
        <v>0</v>
      </c>
      <c r="D15" s="152">
        <f t="shared" si="1"/>
        <v>0</v>
      </c>
      <c r="E15" s="153">
        <f t="shared" si="2"/>
        <v>0</v>
      </c>
      <c r="H15" s="145">
        <v>16</v>
      </c>
      <c r="I15" s="151" t="s">
        <v>54</v>
      </c>
      <c r="J15" s="152">
        <f t="shared" si="3"/>
        <v>0</v>
      </c>
      <c r="K15" s="152">
        <f t="shared" si="4"/>
        <v>0</v>
      </c>
      <c r="L15" s="153">
        <f t="shared" si="5"/>
        <v>0</v>
      </c>
    </row>
    <row r="16" spans="1:12" x14ac:dyDescent="0.3">
      <c r="A16" s="145">
        <v>17</v>
      </c>
      <c r="B16" s="151" t="s">
        <v>54</v>
      </c>
      <c r="C16" s="152">
        <f t="shared" si="0"/>
        <v>4</v>
      </c>
      <c r="D16" s="152">
        <f t="shared" si="1"/>
        <v>4</v>
      </c>
      <c r="E16" s="153">
        <f t="shared" si="2"/>
        <v>4</v>
      </c>
      <c r="H16" s="145">
        <v>1</v>
      </c>
      <c r="I16" s="151" t="s">
        <v>157</v>
      </c>
      <c r="J16" s="152">
        <f t="shared" si="3"/>
        <v>0</v>
      </c>
      <c r="K16" s="152">
        <f t="shared" si="4"/>
        <v>0</v>
      </c>
      <c r="L16" s="153">
        <f t="shared" si="5"/>
        <v>0</v>
      </c>
    </row>
    <row r="17" spans="1:16" x14ac:dyDescent="0.3">
      <c r="A17" s="145">
        <v>13</v>
      </c>
      <c r="B17" s="151" t="s">
        <v>56</v>
      </c>
      <c r="C17" s="152">
        <f t="shared" si="0"/>
        <v>10.9</v>
      </c>
      <c r="D17" s="152">
        <f t="shared" si="1"/>
        <v>5.4</v>
      </c>
      <c r="E17" s="153">
        <f t="shared" si="2"/>
        <v>10.9</v>
      </c>
      <c r="H17" s="145">
        <v>3</v>
      </c>
      <c r="I17" s="151" t="s">
        <v>159</v>
      </c>
      <c r="J17" s="152">
        <f t="shared" si="3"/>
        <v>0</v>
      </c>
      <c r="K17" s="152">
        <f t="shared" si="4"/>
        <v>0</v>
      </c>
      <c r="L17" s="153">
        <f t="shared" si="5"/>
        <v>0</v>
      </c>
    </row>
    <row r="18" spans="1:16" x14ac:dyDescent="0.3">
      <c r="A18" s="145">
        <v>1</v>
      </c>
      <c r="B18" s="151" t="s">
        <v>157</v>
      </c>
      <c r="C18" s="152">
        <f t="shared" si="0"/>
        <v>12</v>
      </c>
      <c r="D18" s="152">
        <f t="shared" si="1"/>
        <v>13</v>
      </c>
      <c r="E18" s="153">
        <f t="shared" si="2"/>
        <v>13</v>
      </c>
      <c r="H18" s="145">
        <v>4</v>
      </c>
      <c r="I18" s="151" t="s">
        <v>160</v>
      </c>
      <c r="J18" s="152">
        <f t="shared" si="3"/>
        <v>0</v>
      </c>
      <c r="K18" s="152">
        <f t="shared" si="4"/>
        <v>0</v>
      </c>
      <c r="L18" s="153">
        <f t="shared" si="5"/>
        <v>0</v>
      </c>
    </row>
    <row r="19" spans="1:16" x14ac:dyDescent="0.3">
      <c r="A19" s="145">
        <v>2</v>
      </c>
      <c r="B19" s="151" t="s">
        <v>158</v>
      </c>
      <c r="C19" s="152">
        <f t="shared" si="0"/>
        <v>14</v>
      </c>
      <c r="D19" s="152">
        <f t="shared" si="1"/>
        <v>0</v>
      </c>
      <c r="E19" s="153">
        <f t="shared" si="2"/>
        <v>14</v>
      </c>
      <c r="H19" s="145">
        <v>5</v>
      </c>
      <c r="I19" s="151" t="s">
        <v>161</v>
      </c>
      <c r="J19" s="152">
        <f t="shared" si="3"/>
        <v>0</v>
      </c>
      <c r="K19" s="152">
        <f t="shared" si="4"/>
        <v>0</v>
      </c>
      <c r="L19" s="153">
        <f t="shared" si="5"/>
        <v>0</v>
      </c>
    </row>
    <row r="20" spans="1:16" x14ac:dyDescent="0.3">
      <c r="A20" s="145">
        <v>4</v>
      </c>
      <c r="B20" s="151" t="s">
        <v>160</v>
      </c>
      <c r="C20" s="152">
        <f t="shared" si="0"/>
        <v>15</v>
      </c>
      <c r="D20" s="152">
        <f t="shared" si="1"/>
        <v>0</v>
      </c>
      <c r="E20" s="153">
        <f t="shared" si="2"/>
        <v>15</v>
      </c>
      <c r="H20" s="145">
        <v>7</v>
      </c>
      <c r="I20" s="151" t="s">
        <v>166</v>
      </c>
      <c r="J20" s="152">
        <f t="shared" si="3"/>
        <v>0</v>
      </c>
      <c r="K20" s="152">
        <f t="shared" si="4"/>
        <v>0</v>
      </c>
      <c r="L20" s="153">
        <f t="shared" si="5"/>
        <v>0</v>
      </c>
    </row>
    <row r="21" spans="1:16" x14ac:dyDescent="0.3">
      <c r="A21" s="145">
        <v>7</v>
      </c>
      <c r="B21" s="151" t="s">
        <v>166</v>
      </c>
      <c r="C21" s="152">
        <f t="shared" si="0"/>
        <v>11</v>
      </c>
      <c r="D21" s="152">
        <f t="shared" si="1"/>
        <v>15</v>
      </c>
      <c r="E21" s="153">
        <f t="shared" si="2"/>
        <v>15</v>
      </c>
      <c r="H21" s="145">
        <v>15</v>
      </c>
      <c r="I21" s="151" t="s">
        <v>57</v>
      </c>
      <c r="J21" s="152">
        <f t="shared" si="3"/>
        <v>4</v>
      </c>
      <c r="K21" s="152">
        <f t="shared" si="4"/>
        <v>12</v>
      </c>
      <c r="L21" s="153">
        <f t="shared" si="5"/>
        <v>12</v>
      </c>
      <c r="P21" s="33" t="s">
        <v>55</v>
      </c>
    </row>
    <row r="22" spans="1:16" x14ac:dyDescent="0.3">
      <c r="A22" s="145">
        <v>12</v>
      </c>
      <c r="B22" s="151" t="s">
        <v>60</v>
      </c>
      <c r="C22" s="152">
        <f t="shared" si="0"/>
        <v>15</v>
      </c>
      <c r="D22" s="152">
        <f t="shared" si="1"/>
        <v>8</v>
      </c>
      <c r="E22" s="153">
        <f t="shared" si="2"/>
        <v>15</v>
      </c>
      <c r="H22" s="145">
        <v>6</v>
      </c>
      <c r="I22" s="151" t="s">
        <v>165</v>
      </c>
      <c r="J22" s="152">
        <f t="shared" si="3"/>
        <v>0</v>
      </c>
      <c r="K22" s="152">
        <f t="shared" si="4"/>
        <v>13</v>
      </c>
      <c r="L22" s="153">
        <f t="shared" si="5"/>
        <v>13</v>
      </c>
    </row>
    <row r="23" spans="1:16" x14ac:dyDescent="0.3">
      <c r="A23" s="145">
        <v>5</v>
      </c>
      <c r="B23" s="151" t="s">
        <v>161</v>
      </c>
      <c r="C23" s="152">
        <f t="shared" si="0"/>
        <v>16</v>
      </c>
      <c r="D23" s="152">
        <f t="shared" si="1"/>
        <v>15</v>
      </c>
      <c r="E23" s="153">
        <f t="shared" si="2"/>
        <v>16</v>
      </c>
      <c r="H23" s="145">
        <v>12</v>
      </c>
      <c r="I23" s="151" t="s">
        <v>56</v>
      </c>
      <c r="J23" s="152">
        <f t="shared" si="3"/>
        <v>13</v>
      </c>
      <c r="K23" s="152">
        <f t="shared" si="4"/>
        <v>13</v>
      </c>
      <c r="L23" s="153">
        <f t="shared" si="5"/>
        <v>13</v>
      </c>
    </row>
    <row r="24" spans="1:16" x14ac:dyDescent="0.3">
      <c r="A24" s="145">
        <v>8</v>
      </c>
      <c r="B24" s="151" t="s">
        <v>162</v>
      </c>
      <c r="C24" s="152">
        <f t="shared" si="0"/>
        <v>8.48</v>
      </c>
      <c r="D24" s="152">
        <f t="shared" si="1"/>
        <v>26.67</v>
      </c>
      <c r="E24" s="153">
        <f t="shared" si="2"/>
        <v>26.67</v>
      </c>
      <c r="H24" s="145">
        <v>10</v>
      </c>
      <c r="I24" s="151" t="s">
        <v>164</v>
      </c>
      <c r="J24" s="152">
        <f t="shared" si="3"/>
        <v>22</v>
      </c>
      <c r="K24" s="152" t="str">
        <f t="shared" si="4"/>
        <v>N/A</v>
      </c>
      <c r="L24" s="153">
        <f t="shared" si="5"/>
        <v>22</v>
      </c>
    </row>
    <row r="25" spans="1:16" x14ac:dyDescent="0.3">
      <c r="A25" s="145">
        <v>10</v>
      </c>
      <c r="B25" s="151" t="s">
        <v>59</v>
      </c>
      <c r="C25" s="152">
        <f t="shared" si="0"/>
        <v>28</v>
      </c>
      <c r="D25" s="152">
        <f t="shared" si="1"/>
        <v>8</v>
      </c>
      <c r="E25" s="153">
        <f t="shared" si="2"/>
        <v>28</v>
      </c>
      <c r="H25" s="145">
        <v>9</v>
      </c>
      <c r="I25" s="151" t="s">
        <v>58</v>
      </c>
      <c r="J25" s="152">
        <f t="shared" si="3"/>
        <v>27</v>
      </c>
      <c r="K25" s="152">
        <f t="shared" si="4"/>
        <v>27</v>
      </c>
      <c r="L25" s="153">
        <f t="shared" si="5"/>
        <v>27</v>
      </c>
    </row>
    <row r="26" spans="1:16" x14ac:dyDescent="0.3">
      <c r="A26" s="145">
        <v>16</v>
      </c>
      <c r="B26" s="151" t="s">
        <v>57</v>
      </c>
      <c r="C26" s="152">
        <f t="shared" si="0"/>
        <v>44</v>
      </c>
      <c r="D26" s="152">
        <f t="shared" si="1"/>
        <v>44</v>
      </c>
      <c r="E26" s="153">
        <f t="shared" si="2"/>
        <v>44</v>
      </c>
      <c r="H26" s="146">
        <v>8</v>
      </c>
      <c r="I26" s="154" t="s">
        <v>162</v>
      </c>
      <c r="J26" s="155">
        <f t="shared" si="3"/>
        <v>93</v>
      </c>
      <c r="K26" s="155">
        <f t="shared" si="4"/>
        <v>0</v>
      </c>
      <c r="L26" s="156">
        <f t="shared" si="5"/>
        <v>93</v>
      </c>
    </row>
    <row r="27" spans="1:16" x14ac:dyDescent="0.3">
      <c r="A27" s="146">
        <v>11</v>
      </c>
      <c r="B27" s="154" t="s">
        <v>164</v>
      </c>
      <c r="C27" s="155">
        <f t="shared" si="0"/>
        <v>78</v>
      </c>
      <c r="D27" s="155">
        <f t="shared" si="1"/>
        <v>0</v>
      </c>
      <c r="E27" s="156">
        <f t="shared" si="2"/>
        <v>78</v>
      </c>
    </row>
    <row r="31" spans="1:16" s="102" customFormat="1" ht="18" x14ac:dyDescent="0.35">
      <c r="B31" s="102" t="s">
        <v>107</v>
      </c>
    </row>
    <row r="32" spans="1:16" s="103" customFormat="1" ht="43.5" customHeight="1" x14ac:dyDescent="0.4">
      <c r="B32" s="104" t="s">
        <v>156</v>
      </c>
    </row>
    <row r="33" spans="1:13" x14ac:dyDescent="0.3">
      <c r="B33" s="45"/>
      <c r="C33" s="163"/>
      <c r="D33" s="45"/>
      <c r="E33" s="45"/>
      <c r="F33" s="45"/>
      <c r="G33" s="45"/>
      <c r="H33" s="45"/>
      <c r="I33" s="45"/>
      <c r="J33" s="45"/>
      <c r="K33" s="45"/>
      <c r="L33" s="45"/>
      <c r="M33" s="45"/>
    </row>
    <row r="34" spans="1:13" ht="15" customHeight="1" x14ac:dyDescent="0.3">
      <c r="A34" s="41"/>
      <c r="B34" s="136" t="s">
        <v>72</v>
      </c>
      <c r="C34" s="41"/>
      <c r="D34" s="41"/>
      <c r="E34" s="41"/>
      <c r="F34" s="136"/>
      <c r="G34" s="136"/>
      <c r="H34" s="45"/>
      <c r="I34" s="136" t="s">
        <v>70</v>
      </c>
      <c r="J34" s="138"/>
      <c r="K34" s="139"/>
      <c r="L34" s="139"/>
      <c r="M34" s="139"/>
    </row>
    <row r="35" spans="1:13" x14ac:dyDescent="0.3">
      <c r="A35" s="144"/>
      <c r="B35" s="140"/>
      <c r="C35" s="140" t="s">
        <v>93</v>
      </c>
      <c r="D35" s="140" t="s">
        <v>94</v>
      </c>
      <c r="E35" s="140" t="s">
        <v>36</v>
      </c>
      <c r="F35" s="141" t="s">
        <v>184</v>
      </c>
      <c r="G35" s="136"/>
      <c r="H35" s="144"/>
      <c r="I35" s="140"/>
      <c r="J35" s="140" t="s">
        <v>93</v>
      </c>
      <c r="K35" s="140" t="s">
        <v>94</v>
      </c>
      <c r="L35" s="140" t="s">
        <v>36</v>
      </c>
      <c r="M35" s="141" t="s">
        <v>184</v>
      </c>
    </row>
    <row r="36" spans="1:13" x14ac:dyDescent="0.3">
      <c r="A36" s="145">
        <v>6</v>
      </c>
      <c r="B36" s="151" t="s">
        <v>165</v>
      </c>
      <c r="C36" s="152" t="e">
        <f t="shared" ref="C36:C53" si="6">IF(INDEX(Q1_Paeds,4+$A36,10)="No data",NA(),INDEX(Q1_Paeds,4+$A36,10))</f>
        <v>#N/A</v>
      </c>
      <c r="D36" s="152" t="e">
        <f t="shared" ref="D36:D53" si="7">IF(INDEX(Q1_Paeds,4+$A36,11)="No data",NA(),INDEX(Q1_Paeds,4+$A36,11))</f>
        <v>#N/A</v>
      </c>
      <c r="E36" s="152" t="e">
        <f t="shared" ref="E36:E53" si="8">IF(INDEX(Q1_Paeds,4+$A36,12)="No data",NA(),INDEX(Q1_Paeds,4+$A36,12))</f>
        <v>#N/A</v>
      </c>
      <c r="F36" s="142" t="e">
        <f t="shared" ref="F36:F53" si="9">SUM(C36:E36)</f>
        <v>#N/A</v>
      </c>
      <c r="G36" s="137"/>
      <c r="H36" s="145">
        <v>2</v>
      </c>
      <c r="I36" s="151" t="s">
        <v>158</v>
      </c>
      <c r="J36" s="152" t="e">
        <f t="shared" ref="J36:J52" si="10">IF(INDEX(Q1_Adult,4+$H36,10)="No data",NA(),INDEX(Q1_Adult,4+$H36,10))</f>
        <v>#N/A</v>
      </c>
      <c r="K36" s="152" t="e">
        <f t="shared" ref="K36:K52" si="11">IF(INDEX(Q1_Adult,4+$H36,11)="No data",NA(),INDEX(Q1_Adult,4+$H36,11))</f>
        <v>#N/A</v>
      </c>
      <c r="L36" s="152" t="e">
        <f t="shared" ref="L36:L52" si="12">IF(INDEX(Q1_Adult,4+$H36,12)="No data",NA(),INDEX(Q1_Adult,4+$H36,12))</f>
        <v>#N/A</v>
      </c>
      <c r="M36" s="142" t="e">
        <f t="shared" ref="M36:M52" si="13">SUM(J36:L36)</f>
        <v>#N/A</v>
      </c>
    </row>
    <row r="37" spans="1:13" x14ac:dyDescent="0.3">
      <c r="A37" s="145">
        <v>9</v>
      </c>
      <c r="B37" s="151" t="s">
        <v>58</v>
      </c>
      <c r="C37" s="152" t="e">
        <f t="shared" si="6"/>
        <v>#N/A</v>
      </c>
      <c r="D37" s="152" t="e">
        <f t="shared" si="7"/>
        <v>#N/A</v>
      </c>
      <c r="E37" s="152" t="e">
        <f t="shared" si="8"/>
        <v>#N/A</v>
      </c>
      <c r="F37" s="142" t="e">
        <f t="shared" si="9"/>
        <v>#N/A</v>
      </c>
      <c r="G37" s="137"/>
      <c r="H37" s="145">
        <v>11</v>
      </c>
      <c r="I37" s="151" t="s">
        <v>60</v>
      </c>
      <c r="J37" s="152" t="e">
        <f t="shared" si="10"/>
        <v>#N/A</v>
      </c>
      <c r="K37" s="152" t="e">
        <f t="shared" si="11"/>
        <v>#N/A</v>
      </c>
      <c r="L37" s="152" t="e">
        <f t="shared" si="12"/>
        <v>#N/A</v>
      </c>
      <c r="M37" s="142" t="e">
        <f t="shared" si="13"/>
        <v>#N/A</v>
      </c>
    </row>
    <row r="38" spans="1:13" x14ac:dyDescent="0.3">
      <c r="A38" s="145">
        <v>14</v>
      </c>
      <c r="B38" s="151" t="s">
        <v>61</v>
      </c>
      <c r="C38" s="152" t="e">
        <f t="shared" si="6"/>
        <v>#N/A</v>
      </c>
      <c r="D38" s="152" t="e">
        <f t="shared" si="7"/>
        <v>#N/A</v>
      </c>
      <c r="E38" s="152" t="e">
        <f t="shared" si="8"/>
        <v>#N/A</v>
      </c>
      <c r="F38" s="142" t="e">
        <f t="shared" si="9"/>
        <v>#N/A</v>
      </c>
      <c r="G38" s="137"/>
      <c r="H38" s="145">
        <v>13</v>
      </c>
      <c r="I38" s="151" t="s">
        <v>61</v>
      </c>
      <c r="J38" s="152" t="e">
        <f t="shared" si="10"/>
        <v>#N/A</v>
      </c>
      <c r="K38" s="152" t="e">
        <f t="shared" si="11"/>
        <v>#N/A</v>
      </c>
      <c r="L38" s="152" t="e">
        <f t="shared" si="12"/>
        <v>#N/A</v>
      </c>
      <c r="M38" s="142" t="e">
        <f t="shared" si="13"/>
        <v>#N/A</v>
      </c>
    </row>
    <row r="39" spans="1:13" x14ac:dyDescent="0.3">
      <c r="A39" s="145">
        <v>18</v>
      </c>
      <c r="B39" s="151" t="s">
        <v>62</v>
      </c>
      <c r="C39" s="152" t="e">
        <f t="shared" si="6"/>
        <v>#N/A</v>
      </c>
      <c r="D39" s="152" t="e">
        <f t="shared" si="7"/>
        <v>#N/A</v>
      </c>
      <c r="E39" s="152" t="e">
        <f t="shared" si="8"/>
        <v>#N/A</v>
      </c>
      <c r="F39" s="142" t="e">
        <f t="shared" si="9"/>
        <v>#N/A</v>
      </c>
      <c r="G39" s="137"/>
      <c r="H39" s="145">
        <v>14</v>
      </c>
      <c r="I39" s="151" t="s">
        <v>52</v>
      </c>
      <c r="J39" s="152" t="e">
        <f t="shared" si="10"/>
        <v>#N/A</v>
      </c>
      <c r="K39" s="152" t="e">
        <f t="shared" si="11"/>
        <v>#N/A</v>
      </c>
      <c r="L39" s="152" t="e">
        <f t="shared" si="12"/>
        <v>#N/A</v>
      </c>
      <c r="M39" s="142" t="e">
        <f t="shared" si="13"/>
        <v>#N/A</v>
      </c>
    </row>
    <row r="40" spans="1:13" x14ac:dyDescent="0.3">
      <c r="A40" s="145">
        <v>3</v>
      </c>
      <c r="B40" s="151" t="s">
        <v>159</v>
      </c>
      <c r="C40" s="152">
        <f t="shared" si="6"/>
        <v>0</v>
      </c>
      <c r="D40" s="152">
        <f t="shared" si="7"/>
        <v>0</v>
      </c>
      <c r="E40" s="152">
        <f t="shared" si="8"/>
        <v>0</v>
      </c>
      <c r="F40" s="142">
        <f t="shared" si="9"/>
        <v>0</v>
      </c>
      <c r="G40" s="137"/>
      <c r="H40" s="145">
        <v>17</v>
      </c>
      <c r="I40" s="151" t="s">
        <v>62</v>
      </c>
      <c r="J40" s="152" t="e">
        <f t="shared" si="10"/>
        <v>#N/A</v>
      </c>
      <c r="K40" s="152" t="e">
        <f t="shared" si="11"/>
        <v>#N/A</v>
      </c>
      <c r="L40" s="152" t="e">
        <f t="shared" si="12"/>
        <v>#N/A</v>
      </c>
      <c r="M40" s="142" t="e">
        <f t="shared" si="13"/>
        <v>#N/A</v>
      </c>
    </row>
    <row r="41" spans="1:13" x14ac:dyDescent="0.3">
      <c r="A41" s="145">
        <v>7</v>
      </c>
      <c r="B41" s="151" t="s">
        <v>166</v>
      </c>
      <c r="C41" s="152">
        <f t="shared" si="6"/>
        <v>0</v>
      </c>
      <c r="D41" s="152">
        <f t="shared" si="7"/>
        <v>0</v>
      </c>
      <c r="E41" s="152">
        <f t="shared" si="8"/>
        <v>0</v>
      </c>
      <c r="F41" s="142">
        <f t="shared" si="9"/>
        <v>0</v>
      </c>
      <c r="G41" s="137"/>
      <c r="H41" s="145">
        <v>15</v>
      </c>
      <c r="I41" s="151" t="s">
        <v>57</v>
      </c>
      <c r="J41" s="152">
        <f t="shared" si="10"/>
        <v>0</v>
      </c>
      <c r="K41" s="152">
        <f t="shared" si="11"/>
        <v>0</v>
      </c>
      <c r="L41" s="152">
        <f t="shared" si="12"/>
        <v>0</v>
      </c>
      <c r="M41" s="142">
        <f t="shared" si="13"/>
        <v>0</v>
      </c>
    </row>
    <row r="42" spans="1:13" x14ac:dyDescent="0.3">
      <c r="A42" s="145">
        <v>15</v>
      </c>
      <c r="B42" s="151" t="s">
        <v>52</v>
      </c>
      <c r="C42" s="152">
        <f t="shared" si="6"/>
        <v>0</v>
      </c>
      <c r="D42" s="152">
        <f t="shared" si="7"/>
        <v>0</v>
      </c>
      <c r="E42" s="152">
        <f t="shared" si="8"/>
        <v>0</v>
      </c>
      <c r="F42" s="142">
        <f t="shared" si="9"/>
        <v>0</v>
      </c>
      <c r="G42" s="137"/>
      <c r="H42" s="145">
        <v>1</v>
      </c>
      <c r="I42" s="151" t="s">
        <v>157</v>
      </c>
      <c r="J42" s="152">
        <f t="shared" si="10"/>
        <v>0</v>
      </c>
      <c r="K42" s="152">
        <f t="shared" si="11"/>
        <v>0</v>
      </c>
      <c r="L42" s="152">
        <f t="shared" si="12"/>
        <v>0</v>
      </c>
      <c r="M42" s="142">
        <f t="shared" si="13"/>
        <v>0</v>
      </c>
    </row>
    <row r="43" spans="1:13" x14ac:dyDescent="0.3">
      <c r="A43" s="145">
        <v>4</v>
      </c>
      <c r="B43" s="151" t="s">
        <v>160</v>
      </c>
      <c r="C43" s="152">
        <f t="shared" si="6"/>
        <v>1</v>
      </c>
      <c r="D43" s="152">
        <f t="shared" si="7"/>
        <v>1</v>
      </c>
      <c r="E43" s="152">
        <f t="shared" si="8"/>
        <v>0</v>
      </c>
      <c r="F43" s="142">
        <f t="shared" si="9"/>
        <v>2</v>
      </c>
      <c r="G43" s="137"/>
      <c r="H43" s="145">
        <v>3</v>
      </c>
      <c r="I43" s="151" t="s">
        <v>159</v>
      </c>
      <c r="J43" s="152">
        <f t="shared" si="10"/>
        <v>0</v>
      </c>
      <c r="K43" s="152">
        <f t="shared" si="11"/>
        <v>0</v>
      </c>
      <c r="L43" s="152">
        <f t="shared" si="12"/>
        <v>0</v>
      </c>
      <c r="M43" s="142">
        <f t="shared" si="13"/>
        <v>0</v>
      </c>
    </row>
    <row r="44" spans="1:13" x14ac:dyDescent="0.3">
      <c r="A44" s="145">
        <v>10</v>
      </c>
      <c r="B44" s="151" t="s">
        <v>59</v>
      </c>
      <c r="C44" s="152">
        <f t="shared" si="6"/>
        <v>4</v>
      </c>
      <c r="D44" s="152">
        <f t="shared" si="7"/>
        <v>0</v>
      </c>
      <c r="E44" s="152">
        <f t="shared" si="8"/>
        <v>0</v>
      </c>
      <c r="F44" s="142">
        <f t="shared" si="9"/>
        <v>4</v>
      </c>
      <c r="G44" s="137"/>
      <c r="H44" s="145">
        <v>4</v>
      </c>
      <c r="I44" s="151" t="s">
        <v>160</v>
      </c>
      <c r="J44" s="152">
        <f t="shared" si="10"/>
        <v>0</v>
      </c>
      <c r="K44" s="152">
        <f t="shared" si="11"/>
        <v>0</v>
      </c>
      <c r="L44" s="152">
        <f t="shared" si="12"/>
        <v>0</v>
      </c>
      <c r="M44" s="142">
        <f t="shared" si="13"/>
        <v>0</v>
      </c>
    </row>
    <row r="45" spans="1:13" x14ac:dyDescent="0.3">
      <c r="A45" s="145">
        <v>5</v>
      </c>
      <c r="B45" s="151" t="s">
        <v>161</v>
      </c>
      <c r="C45" s="152">
        <f t="shared" si="6"/>
        <v>0</v>
      </c>
      <c r="D45" s="152">
        <f t="shared" si="7"/>
        <v>11</v>
      </c>
      <c r="E45" s="152">
        <f t="shared" si="8"/>
        <v>0</v>
      </c>
      <c r="F45" s="142">
        <f t="shared" si="9"/>
        <v>11</v>
      </c>
      <c r="G45" s="137"/>
      <c r="H45" s="145">
        <v>5</v>
      </c>
      <c r="I45" s="151" t="s">
        <v>161</v>
      </c>
      <c r="J45" s="152">
        <f t="shared" si="10"/>
        <v>0</v>
      </c>
      <c r="K45" s="152">
        <f t="shared" si="11"/>
        <v>0</v>
      </c>
      <c r="L45" s="152">
        <f t="shared" si="12"/>
        <v>0</v>
      </c>
      <c r="M45" s="142">
        <f t="shared" si="13"/>
        <v>0</v>
      </c>
    </row>
    <row r="46" spans="1:13" x14ac:dyDescent="0.3">
      <c r="A46" s="145">
        <v>8</v>
      </c>
      <c r="B46" s="151" t="s">
        <v>162</v>
      </c>
      <c r="C46" s="152">
        <f t="shared" si="6"/>
        <v>12</v>
      </c>
      <c r="D46" s="152" t="str">
        <f t="shared" si="7"/>
        <v xml:space="preserve"> </v>
      </c>
      <c r="E46" s="152">
        <f t="shared" si="8"/>
        <v>0</v>
      </c>
      <c r="F46" s="142">
        <f t="shared" si="9"/>
        <v>12</v>
      </c>
      <c r="G46" s="137"/>
      <c r="H46" s="145">
        <v>6</v>
      </c>
      <c r="I46" s="151" t="s">
        <v>165</v>
      </c>
      <c r="J46" s="152">
        <f t="shared" si="10"/>
        <v>0</v>
      </c>
      <c r="K46" s="152">
        <f t="shared" si="11"/>
        <v>0</v>
      </c>
      <c r="L46" s="152">
        <f t="shared" si="12"/>
        <v>0</v>
      </c>
      <c r="M46" s="142">
        <f t="shared" si="13"/>
        <v>0</v>
      </c>
    </row>
    <row r="47" spans="1:13" x14ac:dyDescent="0.3">
      <c r="A47" s="145">
        <v>16</v>
      </c>
      <c r="B47" s="151" t="s">
        <v>57</v>
      </c>
      <c r="C47" s="152">
        <f t="shared" si="6"/>
        <v>14</v>
      </c>
      <c r="D47" s="152">
        <f t="shared" si="7"/>
        <v>0</v>
      </c>
      <c r="E47" s="152">
        <f t="shared" si="8"/>
        <v>0</v>
      </c>
      <c r="F47" s="142">
        <f t="shared" si="9"/>
        <v>14</v>
      </c>
      <c r="G47" s="137"/>
      <c r="H47" s="145">
        <v>7</v>
      </c>
      <c r="I47" s="151" t="s">
        <v>166</v>
      </c>
      <c r="J47" s="152">
        <f t="shared" si="10"/>
        <v>0</v>
      </c>
      <c r="K47" s="152">
        <f t="shared" si="11"/>
        <v>0</v>
      </c>
      <c r="L47" s="152">
        <f t="shared" si="12"/>
        <v>0</v>
      </c>
      <c r="M47" s="142">
        <f t="shared" si="13"/>
        <v>0</v>
      </c>
    </row>
    <row r="48" spans="1:13" x14ac:dyDescent="0.3">
      <c r="A48" s="145">
        <v>17</v>
      </c>
      <c r="B48" s="151" t="s">
        <v>54</v>
      </c>
      <c r="C48" s="152">
        <f t="shared" si="6"/>
        <v>66</v>
      </c>
      <c r="D48" s="152">
        <f t="shared" si="7"/>
        <v>20</v>
      </c>
      <c r="E48" s="152">
        <f t="shared" si="8"/>
        <v>1</v>
      </c>
      <c r="F48" s="142">
        <f t="shared" si="9"/>
        <v>87</v>
      </c>
      <c r="G48" s="137"/>
      <c r="H48" s="145">
        <v>16</v>
      </c>
      <c r="I48" s="151" t="s">
        <v>54</v>
      </c>
      <c r="J48" s="152">
        <f t="shared" si="10"/>
        <v>3</v>
      </c>
      <c r="K48" s="152">
        <f t="shared" si="11"/>
        <v>0</v>
      </c>
      <c r="L48" s="152">
        <f t="shared" si="12"/>
        <v>0</v>
      </c>
      <c r="M48" s="142">
        <f t="shared" si="13"/>
        <v>3</v>
      </c>
    </row>
    <row r="49" spans="1:13" x14ac:dyDescent="0.3">
      <c r="A49" s="145">
        <v>12</v>
      </c>
      <c r="B49" s="151" t="s">
        <v>60</v>
      </c>
      <c r="C49" s="152">
        <f t="shared" si="6"/>
        <v>50</v>
      </c>
      <c r="D49" s="152">
        <f t="shared" si="7"/>
        <v>66</v>
      </c>
      <c r="E49" s="152">
        <f t="shared" si="8"/>
        <v>11</v>
      </c>
      <c r="F49" s="142">
        <f t="shared" si="9"/>
        <v>127</v>
      </c>
      <c r="G49" s="137"/>
      <c r="H49" s="145">
        <v>12</v>
      </c>
      <c r="I49" s="151" t="s">
        <v>56</v>
      </c>
      <c r="J49" s="152">
        <f t="shared" si="10"/>
        <v>4</v>
      </c>
      <c r="K49" s="152">
        <f t="shared" si="11"/>
        <v>31</v>
      </c>
      <c r="L49" s="152">
        <f t="shared" si="12"/>
        <v>24</v>
      </c>
      <c r="M49" s="142">
        <f t="shared" si="13"/>
        <v>59</v>
      </c>
    </row>
    <row r="50" spans="1:13" x14ac:dyDescent="0.3">
      <c r="A50" s="145">
        <v>1</v>
      </c>
      <c r="B50" s="151" t="s">
        <v>157</v>
      </c>
      <c r="C50" s="152">
        <f t="shared" si="6"/>
        <v>42</v>
      </c>
      <c r="D50" s="152">
        <f t="shared" si="7"/>
        <v>64</v>
      </c>
      <c r="E50" s="152">
        <f t="shared" si="8"/>
        <v>38</v>
      </c>
      <c r="F50" s="142">
        <f t="shared" si="9"/>
        <v>144</v>
      </c>
      <c r="G50" s="137"/>
      <c r="H50" s="145">
        <v>9</v>
      </c>
      <c r="I50" s="151" t="s">
        <v>58</v>
      </c>
      <c r="J50" s="152">
        <f t="shared" si="10"/>
        <v>23</v>
      </c>
      <c r="K50" s="152">
        <f t="shared" si="11"/>
        <v>24</v>
      </c>
      <c r="L50" s="152">
        <f t="shared" si="12"/>
        <v>14</v>
      </c>
      <c r="M50" s="142">
        <f t="shared" si="13"/>
        <v>61</v>
      </c>
    </row>
    <row r="51" spans="1:13" x14ac:dyDescent="0.3">
      <c r="A51" s="145">
        <v>13</v>
      </c>
      <c r="B51" s="151" t="s">
        <v>56</v>
      </c>
      <c r="C51" s="152">
        <f t="shared" si="6"/>
        <v>43</v>
      </c>
      <c r="D51" s="152">
        <f t="shared" si="7"/>
        <v>68</v>
      </c>
      <c r="E51" s="152">
        <f t="shared" si="8"/>
        <v>140</v>
      </c>
      <c r="F51" s="142">
        <f t="shared" si="9"/>
        <v>251</v>
      </c>
      <c r="G51" s="137"/>
      <c r="H51" s="145">
        <v>8</v>
      </c>
      <c r="I51" s="151" t="s">
        <v>162</v>
      </c>
      <c r="J51" s="152">
        <f t="shared" si="10"/>
        <v>33</v>
      </c>
      <c r="K51" s="152">
        <f t="shared" si="11"/>
        <v>31</v>
      </c>
      <c r="L51" s="152">
        <f t="shared" si="12"/>
        <v>61</v>
      </c>
      <c r="M51" s="142">
        <f t="shared" si="13"/>
        <v>125</v>
      </c>
    </row>
    <row r="52" spans="1:13" x14ac:dyDescent="0.3">
      <c r="A52" s="145">
        <v>2</v>
      </c>
      <c r="B52" s="151" t="s">
        <v>158</v>
      </c>
      <c r="C52" s="152">
        <f t="shared" si="6"/>
        <v>159</v>
      </c>
      <c r="D52" s="152">
        <f t="shared" si="7"/>
        <v>314</v>
      </c>
      <c r="E52" s="152">
        <f t="shared" si="8"/>
        <v>156</v>
      </c>
      <c r="F52" s="142">
        <f t="shared" si="9"/>
        <v>629</v>
      </c>
      <c r="G52" s="137"/>
      <c r="H52" s="146">
        <v>10</v>
      </c>
      <c r="I52" s="154" t="s">
        <v>164</v>
      </c>
      <c r="J52" s="152">
        <f t="shared" si="10"/>
        <v>446</v>
      </c>
      <c r="K52" s="152">
        <f t="shared" si="11"/>
        <v>284</v>
      </c>
      <c r="L52" s="152">
        <f t="shared" si="12"/>
        <v>90</v>
      </c>
      <c r="M52" s="142">
        <f t="shared" si="13"/>
        <v>820</v>
      </c>
    </row>
    <row r="53" spans="1:13" x14ac:dyDescent="0.3">
      <c r="A53" s="146">
        <v>11</v>
      </c>
      <c r="B53" s="154" t="s">
        <v>164</v>
      </c>
      <c r="C53" s="155">
        <f t="shared" si="6"/>
        <v>313</v>
      </c>
      <c r="D53" s="155">
        <f t="shared" si="7"/>
        <v>445</v>
      </c>
      <c r="E53" s="155">
        <f t="shared" si="8"/>
        <v>250</v>
      </c>
      <c r="F53" s="143">
        <f t="shared" si="9"/>
        <v>1008</v>
      </c>
      <c r="G53" s="137"/>
    </row>
    <row r="54" spans="1:13" x14ac:dyDescent="0.3">
      <c r="A54" s="137"/>
    </row>
    <row r="55" spans="1:13" s="41" customFormat="1" x14ac:dyDescent="0.3">
      <c r="B55" s="75"/>
      <c r="C55" s="52"/>
      <c r="D55" s="52"/>
      <c r="E55" s="76"/>
      <c r="F55" s="52"/>
    </row>
    <row r="56" spans="1:13" x14ac:dyDescent="0.3">
      <c r="B56" s="237" t="s">
        <v>73</v>
      </c>
      <c r="H56" s="136" t="s">
        <v>71</v>
      </c>
      <c r="I56" s="163"/>
      <c r="J56" s="45"/>
      <c r="K56" s="45"/>
      <c r="L56" s="45"/>
    </row>
    <row r="57" spans="1:13" x14ac:dyDescent="0.3">
      <c r="A57" s="144"/>
      <c r="B57" s="238"/>
      <c r="C57" s="140" t="s">
        <v>93</v>
      </c>
      <c r="D57" s="140" t="s">
        <v>94</v>
      </c>
      <c r="E57" s="140" t="s">
        <v>36</v>
      </c>
      <c r="F57" s="141" t="s">
        <v>184</v>
      </c>
      <c r="G57" s="158"/>
      <c r="H57" s="144"/>
      <c r="I57" s="140"/>
      <c r="J57" s="140" t="s">
        <v>93</v>
      </c>
      <c r="K57" s="140" t="s">
        <v>94</v>
      </c>
      <c r="L57" s="140" t="s">
        <v>36</v>
      </c>
      <c r="M57" s="141" t="s">
        <v>184</v>
      </c>
    </row>
    <row r="58" spans="1:13" x14ac:dyDescent="0.3">
      <c r="A58" s="145">
        <v>6</v>
      </c>
      <c r="B58" s="151" t="s">
        <v>165</v>
      </c>
      <c r="C58" s="147" t="e">
        <f t="shared" ref="C58:C75" si="14">IF(INDEX(Q1_Paeds,4+$A58,16)="No data",NA(),INDEX(Q1_Paeds,4+$A58,16))</f>
        <v>#N/A</v>
      </c>
      <c r="D58" s="147" t="e">
        <f t="shared" ref="D58:D75" si="15">IF(INDEX(Q1_Paeds,4+$A58,17)="No data",NA(),INDEX(Q1_Paeds,4+$A58,17))</f>
        <v>#N/A</v>
      </c>
      <c r="E58" s="147" t="e">
        <f t="shared" ref="E58:E75" si="16">IF(INDEX(Q1_Paeds,4+$A58,18)="No data",NA(),INDEX(Q1_Paeds,4+$A58,18))</f>
        <v>#N/A</v>
      </c>
      <c r="F58" s="142" t="e">
        <f t="shared" ref="F58:F75" si="17">SUM(C58:E58)</f>
        <v>#N/A</v>
      </c>
      <c r="G58" s="159"/>
      <c r="H58" s="145">
        <v>2</v>
      </c>
      <c r="I58" s="151" t="s">
        <v>158</v>
      </c>
      <c r="J58" s="152" t="e">
        <f t="shared" ref="J58:J74" si="18">IF(INDEX(Q1_Adult,4+$H58,16)="No data",NA(),INDEX(Q1_Adult,4+$H58,16))</f>
        <v>#N/A</v>
      </c>
      <c r="K58" s="152" t="e">
        <f t="shared" ref="K58:K74" si="19">IF(INDEX(Q1_Adult,4+$H58,17)="No data",NA(),INDEX(Q1_Adult,4+$H58,17))</f>
        <v>#N/A</v>
      </c>
      <c r="L58" s="152" t="e">
        <f t="shared" ref="L58:L74" si="20">IF(INDEX(Q1_Adult,4+$H58,18)="No data",NA(),INDEX(Q1_Adult,4+$H58,18))</f>
        <v>#N/A</v>
      </c>
      <c r="M58" s="142" t="e">
        <f t="shared" ref="M58:M74" si="21">SUM(J58:L58)</f>
        <v>#N/A</v>
      </c>
    </row>
    <row r="59" spans="1:13" x14ac:dyDescent="0.3">
      <c r="A59" s="145">
        <v>9</v>
      </c>
      <c r="B59" s="151" t="s">
        <v>58</v>
      </c>
      <c r="C59" s="147" t="e">
        <f t="shared" si="14"/>
        <v>#N/A</v>
      </c>
      <c r="D59" s="147" t="e">
        <f t="shared" si="15"/>
        <v>#N/A</v>
      </c>
      <c r="E59" s="147" t="e">
        <f t="shared" si="16"/>
        <v>#N/A</v>
      </c>
      <c r="F59" s="142" t="e">
        <f t="shared" si="17"/>
        <v>#N/A</v>
      </c>
      <c r="G59" s="159"/>
      <c r="H59" s="145">
        <v>11</v>
      </c>
      <c r="I59" s="151" t="s">
        <v>60</v>
      </c>
      <c r="J59" s="152" t="e">
        <f t="shared" si="18"/>
        <v>#N/A</v>
      </c>
      <c r="K59" s="152" t="e">
        <f t="shared" si="19"/>
        <v>#N/A</v>
      </c>
      <c r="L59" s="152" t="e">
        <f t="shared" si="20"/>
        <v>#N/A</v>
      </c>
      <c r="M59" s="142" t="e">
        <f t="shared" si="21"/>
        <v>#N/A</v>
      </c>
    </row>
    <row r="60" spans="1:13" x14ac:dyDescent="0.3">
      <c r="A60" s="145">
        <v>14</v>
      </c>
      <c r="B60" s="151" t="s">
        <v>61</v>
      </c>
      <c r="C60" s="147" t="e">
        <f t="shared" si="14"/>
        <v>#N/A</v>
      </c>
      <c r="D60" s="147" t="e">
        <f t="shared" si="15"/>
        <v>#N/A</v>
      </c>
      <c r="E60" s="147" t="e">
        <f t="shared" si="16"/>
        <v>#N/A</v>
      </c>
      <c r="F60" s="142" t="e">
        <f t="shared" si="17"/>
        <v>#N/A</v>
      </c>
      <c r="G60" s="159"/>
      <c r="H60" s="145">
        <v>13</v>
      </c>
      <c r="I60" s="151" t="s">
        <v>61</v>
      </c>
      <c r="J60" s="152" t="e">
        <f t="shared" si="18"/>
        <v>#N/A</v>
      </c>
      <c r="K60" s="152" t="e">
        <f t="shared" si="19"/>
        <v>#N/A</v>
      </c>
      <c r="L60" s="152" t="e">
        <f t="shared" si="20"/>
        <v>#N/A</v>
      </c>
      <c r="M60" s="142" t="e">
        <f t="shared" si="21"/>
        <v>#N/A</v>
      </c>
    </row>
    <row r="61" spans="1:13" x14ac:dyDescent="0.3">
      <c r="A61" s="145">
        <v>18</v>
      </c>
      <c r="B61" s="151" t="s">
        <v>62</v>
      </c>
      <c r="C61" s="147" t="e">
        <f t="shared" si="14"/>
        <v>#N/A</v>
      </c>
      <c r="D61" s="147" t="e">
        <f t="shared" si="15"/>
        <v>#N/A</v>
      </c>
      <c r="E61" s="147" t="e">
        <f t="shared" si="16"/>
        <v>#N/A</v>
      </c>
      <c r="F61" s="142" t="e">
        <f t="shared" si="17"/>
        <v>#N/A</v>
      </c>
      <c r="G61" s="159"/>
      <c r="H61" s="145">
        <v>14</v>
      </c>
      <c r="I61" s="151" t="s">
        <v>52</v>
      </c>
      <c r="J61" s="152" t="e">
        <f t="shared" si="18"/>
        <v>#N/A</v>
      </c>
      <c r="K61" s="152" t="e">
        <f t="shared" si="19"/>
        <v>#N/A</v>
      </c>
      <c r="L61" s="152" t="e">
        <f t="shared" si="20"/>
        <v>#N/A</v>
      </c>
      <c r="M61" s="142" t="e">
        <f t="shared" si="21"/>
        <v>#N/A</v>
      </c>
    </row>
    <row r="62" spans="1:13" x14ac:dyDescent="0.3">
      <c r="A62" s="145">
        <v>11</v>
      </c>
      <c r="B62" s="151" t="s">
        <v>164</v>
      </c>
      <c r="C62" s="147">
        <f t="shared" si="14"/>
        <v>0</v>
      </c>
      <c r="D62" s="147">
        <f t="shared" si="15"/>
        <v>0</v>
      </c>
      <c r="E62" s="147">
        <f t="shared" si="16"/>
        <v>0</v>
      </c>
      <c r="F62" s="142">
        <f t="shared" si="17"/>
        <v>0</v>
      </c>
      <c r="G62" s="159"/>
      <c r="H62" s="145">
        <v>17</v>
      </c>
      <c r="I62" s="151" t="s">
        <v>62</v>
      </c>
      <c r="J62" s="152" t="e">
        <f t="shared" si="18"/>
        <v>#N/A</v>
      </c>
      <c r="K62" s="152" t="e">
        <f t="shared" si="19"/>
        <v>#N/A</v>
      </c>
      <c r="L62" s="152" t="e">
        <f t="shared" si="20"/>
        <v>#N/A</v>
      </c>
      <c r="M62" s="142" t="e">
        <f t="shared" si="21"/>
        <v>#N/A</v>
      </c>
    </row>
    <row r="63" spans="1:13" x14ac:dyDescent="0.3">
      <c r="A63" s="145">
        <v>2</v>
      </c>
      <c r="B63" s="151" t="s">
        <v>158</v>
      </c>
      <c r="C63" s="147">
        <f t="shared" si="14"/>
        <v>0</v>
      </c>
      <c r="D63" s="147">
        <f t="shared" si="15"/>
        <v>0</v>
      </c>
      <c r="E63" s="147">
        <f t="shared" si="16"/>
        <v>0</v>
      </c>
      <c r="F63" s="142">
        <f t="shared" si="17"/>
        <v>0</v>
      </c>
      <c r="G63" s="159"/>
      <c r="H63" s="145">
        <v>4</v>
      </c>
      <c r="I63" s="151" t="s">
        <v>160</v>
      </c>
      <c r="J63" s="152">
        <f t="shared" si="18"/>
        <v>0</v>
      </c>
      <c r="K63" s="152">
        <f t="shared" si="19"/>
        <v>0</v>
      </c>
      <c r="L63" s="152">
        <f t="shared" si="20"/>
        <v>0</v>
      </c>
      <c r="M63" s="142">
        <f t="shared" si="21"/>
        <v>0</v>
      </c>
    </row>
    <row r="64" spans="1:13" x14ac:dyDescent="0.3">
      <c r="A64" s="145">
        <v>10</v>
      </c>
      <c r="B64" s="151" t="s">
        <v>59</v>
      </c>
      <c r="C64" s="147">
        <f t="shared" si="14"/>
        <v>1</v>
      </c>
      <c r="D64" s="147">
        <f t="shared" si="15"/>
        <v>0</v>
      </c>
      <c r="E64" s="147">
        <f t="shared" si="16"/>
        <v>0</v>
      </c>
      <c r="F64" s="142">
        <f t="shared" si="17"/>
        <v>1</v>
      </c>
      <c r="G64" s="159"/>
      <c r="H64" s="145">
        <v>5</v>
      </c>
      <c r="I64" s="151" t="s">
        <v>161</v>
      </c>
      <c r="J64" s="152">
        <f t="shared" si="18"/>
        <v>0</v>
      </c>
      <c r="K64" s="152">
        <f t="shared" si="19"/>
        <v>0</v>
      </c>
      <c r="L64" s="152">
        <f t="shared" si="20"/>
        <v>0</v>
      </c>
      <c r="M64" s="142">
        <f t="shared" si="21"/>
        <v>0</v>
      </c>
    </row>
    <row r="65" spans="1:15" x14ac:dyDescent="0.3">
      <c r="A65" s="145">
        <v>15</v>
      </c>
      <c r="B65" s="151" t="s">
        <v>52</v>
      </c>
      <c r="C65" s="147">
        <f t="shared" si="14"/>
        <v>1</v>
      </c>
      <c r="D65" s="147">
        <f t="shared" si="15"/>
        <v>2</v>
      </c>
      <c r="E65" s="147">
        <f t="shared" si="16"/>
        <v>0</v>
      </c>
      <c r="F65" s="142">
        <f t="shared" si="17"/>
        <v>3</v>
      </c>
      <c r="G65" s="159"/>
      <c r="H65" s="145">
        <v>8</v>
      </c>
      <c r="I65" s="151" t="s">
        <v>162</v>
      </c>
      <c r="J65" s="152">
        <f t="shared" si="18"/>
        <v>0</v>
      </c>
      <c r="K65" s="152">
        <f t="shared" si="19"/>
        <v>0</v>
      </c>
      <c r="L65" s="152">
        <f t="shared" si="20"/>
        <v>0</v>
      </c>
      <c r="M65" s="142">
        <f t="shared" si="21"/>
        <v>0</v>
      </c>
    </row>
    <row r="66" spans="1:15" x14ac:dyDescent="0.3">
      <c r="A66" s="145">
        <v>4</v>
      </c>
      <c r="B66" s="151" t="s">
        <v>160</v>
      </c>
      <c r="C66" s="147">
        <f t="shared" si="14"/>
        <v>5</v>
      </c>
      <c r="D66" s="147">
        <f t="shared" si="15"/>
        <v>6</v>
      </c>
      <c r="E66" s="147">
        <f t="shared" si="16"/>
        <v>2</v>
      </c>
      <c r="F66" s="142">
        <f t="shared" si="17"/>
        <v>13</v>
      </c>
      <c r="G66" s="159"/>
      <c r="H66" s="145">
        <v>10</v>
      </c>
      <c r="I66" s="151" t="s">
        <v>164</v>
      </c>
      <c r="J66" s="152" t="str">
        <f t="shared" si="18"/>
        <v>N/A</v>
      </c>
      <c r="K66" s="152" t="str">
        <f t="shared" si="19"/>
        <v>N/A</v>
      </c>
      <c r="L66" s="152" t="str">
        <f t="shared" si="20"/>
        <v>N/A</v>
      </c>
      <c r="M66" s="142">
        <f t="shared" si="21"/>
        <v>0</v>
      </c>
    </row>
    <row r="67" spans="1:15" x14ac:dyDescent="0.3">
      <c r="A67" s="145">
        <v>7</v>
      </c>
      <c r="B67" s="151" t="s">
        <v>166</v>
      </c>
      <c r="C67" s="147">
        <f t="shared" si="14"/>
        <v>11</v>
      </c>
      <c r="D67" s="147">
        <f t="shared" si="15"/>
        <v>17</v>
      </c>
      <c r="E67" s="147">
        <f t="shared" si="16"/>
        <v>0</v>
      </c>
      <c r="F67" s="142">
        <f t="shared" si="17"/>
        <v>28</v>
      </c>
      <c r="G67" s="159"/>
      <c r="H67" s="145">
        <v>7</v>
      </c>
      <c r="I67" s="151" t="s">
        <v>166</v>
      </c>
      <c r="J67" s="152">
        <f t="shared" si="18"/>
        <v>0</v>
      </c>
      <c r="K67" s="152">
        <f t="shared" si="19"/>
        <v>3</v>
      </c>
      <c r="L67" s="152">
        <f t="shared" si="20"/>
        <v>1</v>
      </c>
      <c r="M67" s="142">
        <f t="shared" si="21"/>
        <v>4</v>
      </c>
    </row>
    <row r="68" spans="1:15" x14ac:dyDescent="0.3">
      <c r="A68" s="145">
        <v>5</v>
      </c>
      <c r="B68" s="151" t="s">
        <v>161</v>
      </c>
      <c r="C68" s="147">
        <f t="shared" si="14"/>
        <v>8</v>
      </c>
      <c r="D68" s="147">
        <f t="shared" si="15"/>
        <v>18</v>
      </c>
      <c r="E68" s="147">
        <f t="shared" si="16"/>
        <v>5</v>
      </c>
      <c r="F68" s="142">
        <f t="shared" si="17"/>
        <v>31</v>
      </c>
      <c r="G68" s="159"/>
      <c r="H68" s="145">
        <v>16</v>
      </c>
      <c r="I68" s="151" t="s">
        <v>54</v>
      </c>
      <c r="J68" s="152">
        <f t="shared" si="18"/>
        <v>6</v>
      </c>
      <c r="K68" s="152">
        <f t="shared" si="19"/>
        <v>7</v>
      </c>
      <c r="L68" s="152">
        <f t="shared" si="20"/>
        <v>0</v>
      </c>
      <c r="M68" s="142">
        <f t="shared" si="21"/>
        <v>13</v>
      </c>
    </row>
    <row r="69" spans="1:15" x14ac:dyDescent="0.3">
      <c r="A69" s="145">
        <v>3</v>
      </c>
      <c r="B69" s="151" t="s">
        <v>159</v>
      </c>
      <c r="C69" s="147">
        <f t="shared" si="14"/>
        <v>45</v>
      </c>
      <c r="D69" s="147">
        <f t="shared" si="15"/>
        <v>20</v>
      </c>
      <c r="E69" s="147">
        <f t="shared" si="16"/>
        <v>0</v>
      </c>
      <c r="F69" s="142">
        <f t="shared" si="17"/>
        <v>65</v>
      </c>
      <c r="G69" s="159"/>
      <c r="H69" s="145">
        <v>15</v>
      </c>
      <c r="I69" s="151" t="s">
        <v>57</v>
      </c>
      <c r="J69" s="152">
        <f t="shared" si="18"/>
        <v>13</v>
      </c>
      <c r="K69" s="152">
        <f t="shared" si="19"/>
        <v>0</v>
      </c>
      <c r="L69" s="152">
        <f t="shared" si="20"/>
        <v>0</v>
      </c>
      <c r="M69" s="142">
        <f t="shared" si="21"/>
        <v>13</v>
      </c>
    </row>
    <row r="70" spans="1:15" x14ac:dyDescent="0.3">
      <c r="A70" s="145">
        <v>16</v>
      </c>
      <c r="B70" s="151" t="s">
        <v>57</v>
      </c>
      <c r="C70" s="147">
        <f t="shared" si="14"/>
        <v>28</v>
      </c>
      <c r="D70" s="147">
        <f t="shared" si="15"/>
        <v>37</v>
      </c>
      <c r="E70" s="147">
        <f t="shared" si="16"/>
        <v>14</v>
      </c>
      <c r="F70" s="142">
        <f t="shared" si="17"/>
        <v>79</v>
      </c>
      <c r="G70" s="159"/>
      <c r="H70" s="145">
        <v>12</v>
      </c>
      <c r="I70" s="151" t="s">
        <v>56</v>
      </c>
      <c r="J70" s="152">
        <f t="shared" si="18"/>
        <v>4</v>
      </c>
      <c r="K70" s="152">
        <f t="shared" si="19"/>
        <v>31</v>
      </c>
      <c r="L70" s="152">
        <f t="shared" si="20"/>
        <v>24</v>
      </c>
      <c r="M70" s="142">
        <f t="shared" si="21"/>
        <v>59</v>
      </c>
    </row>
    <row r="71" spans="1:15" x14ac:dyDescent="0.3">
      <c r="A71" s="145">
        <v>13</v>
      </c>
      <c r="B71" s="151" t="s">
        <v>56</v>
      </c>
      <c r="C71" s="147">
        <f t="shared" si="14"/>
        <v>14</v>
      </c>
      <c r="D71" s="147">
        <f t="shared" si="15"/>
        <v>30</v>
      </c>
      <c r="E71" s="147">
        <f t="shared" si="16"/>
        <v>42</v>
      </c>
      <c r="F71" s="142">
        <f t="shared" si="17"/>
        <v>86</v>
      </c>
      <c r="G71" s="159"/>
      <c r="H71" s="145">
        <v>9</v>
      </c>
      <c r="I71" s="151" t="s">
        <v>58</v>
      </c>
      <c r="J71" s="152">
        <f t="shared" si="18"/>
        <v>23</v>
      </c>
      <c r="K71" s="152">
        <f t="shared" si="19"/>
        <v>24</v>
      </c>
      <c r="L71" s="152">
        <f t="shared" si="20"/>
        <v>14</v>
      </c>
      <c r="M71" s="142">
        <f t="shared" si="21"/>
        <v>61</v>
      </c>
    </row>
    <row r="72" spans="1:15" x14ac:dyDescent="0.3">
      <c r="A72" s="145">
        <v>8</v>
      </c>
      <c r="B72" s="151" t="s">
        <v>162</v>
      </c>
      <c r="C72" s="147">
        <f t="shared" si="14"/>
        <v>70</v>
      </c>
      <c r="D72" s="147">
        <f t="shared" si="15"/>
        <v>19</v>
      </c>
      <c r="E72" s="147">
        <f t="shared" si="16"/>
        <v>0</v>
      </c>
      <c r="F72" s="142">
        <f t="shared" si="17"/>
        <v>89</v>
      </c>
      <c r="G72" s="159"/>
      <c r="H72" s="145">
        <v>6</v>
      </c>
      <c r="I72" s="151" t="s">
        <v>165</v>
      </c>
      <c r="J72" s="152">
        <f t="shared" si="18"/>
        <v>30</v>
      </c>
      <c r="K72" s="152">
        <f t="shared" si="19"/>
        <v>53</v>
      </c>
      <c r="L72" s="152">
        <f t="shared" si="20"/>
        <v>53</v>
      </c>
      <c r="M72" s="142">
        <f t="shared" si="21"/>
        <v>136</v>
      </c>
    </row>
    <row r="73" spans="1:15" x14ac:dyDescent="0.3">
      <c r="A73" s="145">
        <v>12</v>
      </c>
      <c r="B73" s="151" t="s">
        <v>60</v>
      </c>
      <c r="C73" s="147">
        <f t="shared" si="14"/>
        <v>44</v>
      </c>
      <c r="D73" s="147">
        <f t="shared" si="15"/>
        <v>35</v>
      </c>
      <c r="E73" s="147">
        <f t="shared" si="16"/>
        <v>15</v>
      </c>
      <c r="F73" s="142">
        <f t="shared" si="17"/>
        <v>94</v>
      </c>
      <c r="G73" s="159"/>
      <c r="H73" s="145">
        <v>1</v>
      </c>
      <c r="I73" s="151" t="s">
        <v>157</v>
      </c>
      <c r="J73" s="152">
        <f t="shared" si="18"/>
        <v>28</v>
      </c>
      <c r="K73" s="152">
        <f t="shared" si="19"/>
        <v>53</v>
      </c>
      <c r="L73" s="152">
        <f t="shared" si="20"/>
        <v>116</v>
      </c>
      <c r="M73" s="142">
        <f t="shared" si="21"/>
        <v>197</v>
      </c>
    </row>
    <row r="74" spans="1:15" x14ac:dyDescent="0.3">
      <c r="A74" s="145">
        <v>17</v>
      </c>
      <c r="B74" s="151" t="s">
        <v>54</v>
      </c>
      <c r="C74" s="147">
        <f t="shared" si="14"/>
        <v>30</v>
      </c>
      <c r="D74" s="147">
        <f t="shared" si="15"/>
        <v>72</v>
      </c>
      <c r="E74" s="147">
        <f t="shared" si="16"/>
        <v>19</v>
      </c>
      <c r="F74" s="142">
        <f t="shared" si="17"/>
        <v>121</v>
      </c>
      <c r="G74" s="159"/>
      <c r="H74" s="146">
        <v>3</v>
      </c>
      <c r="I74" s="154" t="s">
        <v>159</v>
      </c>
      <c r="J74" s="152">
        <f t="shared" si="18"/>
        <v>41</v>
      </c>
      <c r="K74" s="152">
        <f t="shared" si="19"/>
        <v>93</v>
      </c>
      <c r="L74" s="152">
        <f t="shared" si="20"/>
        <v>167</v>
      </c>
      <c r="M74" s="142">
        <f t="shared" si="21"/>
        <v>301</v>
      </c>
    </row>
    <row r="75" spans="1:15" x14ac:dyDescent="0.3">
      <c r="A75" s="146">
        <v>1</v>
      </c>
      <c r="B75" s="154" t="s">
        <v>157</v>
      </c>
      <c r="C75" s="148">
        <f t="shared" si="14"/>
        <v>97</v>
      </c>
      <c r="D75" s="148">
        <f t="shared" si="15"/>
        <v>150</v>
      </c>
      <c r="E75" s="148">
        <f t="shared" si="16"/>
        <v>94</v>
      </c>
      <c r="F75" s="143">
        <f t="shared" si="17"/>
        <v>341</v>
      </c>
      <c r="G75" s="159"/>
    </row>
    <row r="77" spans="1:15" s="102" customFormat="1" ht="18" x14ac:dyDescent="0.35">
      <c r="B77" s="102" t="s">
        <v>108</v>
      </c>
    </row>
    <row r="78" spans="1:15" s="103" customFormat="1" ht="43.5" customHeight="1" x14ac:dyDescent="0.4">
      <c r="B78" s="104" t="s">
        <v>189</v>
      </c>
    </row>
    <row r="79" spans="1:15" x14ac:dyDescent="0.3">
      <c r="A79" s="41"/>
      <c r="B79" s="136" t="s">
        <v>74</v>
      </c>
      <c r="C79" s="41"/>
      <c r="D79" s="41"/>
      <c r="E79" s="136" t="s">
        <v>146</v>
      </c>
      <c r="F79" s="136"/>
      <c r="I79" s="34" t="s">
        <v>143</v>
      </c>
      <c r="M79" s="34" t="s">
        <v>143</v>
      </c>
    </row>
    <row r="80" spans="1:15" x14ac:dyDescent="0.3">
      <c r="A80" s="144"/>
      <c r="B80" s="140"/>
      <c r="C80" s="141" t="str">
        <f>Data!U29</f>
        <v>Local consultant</v>
      </c>
      <c r="D80" s="158"/>
      <c r="E80" s="144"/>
      <c r="F80" s="140"/>
      <c r="G80" s="141" t="str">
        <f>Data!V29</f>
        <v>Visiting consultant</v>
      </c>
      <c r="H80" s="158"/>
      <c r="I80" s="144"/>
      <c r="J80" s="140"/>
      <c r="K80" s="141" t="str">
        <f>Data!U5</f>
        <v>Local consultant</v>
      </c>
      <c r="L80" s="158"/>
      <c r="M80" s="144"/>
      <c r="N80" s="140"/>
      <c r="O80" s="141" t="str">
        <f>Data!V5</f>
        <v>Visiting consultant</v>
      </c>
    </row>
    <row r="81" spans="1:15" x14ac:dyDescent="0.3">
      <c r="A81" s="145">
        <v>6</v>
      </c>
      <c r="B81" s="151" t="s">
        <v>165</v>
      </c>
      <c r="C81" s="160" t="e">
        <f t="shared" ref="C81:C98" si="22">IF(INDEX(Q1_Paeds,4+$A81,21)="No data",NA(),INDEX(Q1_Paeds,4+$A81,21))</f>
        <v>#N/A</v>
      </c>
      <c r="D81" s="162"/>
      <c r="E81" s="145">
        <v>6</v>
      </c>
      <c r="F81" s="151" t="s">
        <v>165</v>
      </c>
      <c r="G81" s="160" t="e">
        <f t="shared" ref="G81:G98" si="23">IF(INDEX(Q1_Paeds,4+$E81,22)="No data",NA(),INDEX(Q1_Paeds,4+$E81,22))</f>
        <v>#N/A</v>
      </c>
      <c r="H81" s="162"/>
      <c r="I81" s="145">
        <v>2</v>
      </c>
      <c r="J81" s="151" t="s">
        <v>158</v>
      </c>
      <c r="K81" s="160" t="e">
        <f t="shared" ref="K81:K97" si="24">IF(INDEX(Q1_Adult,4+$I81,21)="No data",NA(),INDEX(Q1_Adult,4+$I81,21))</f>
        <v>#N/A</v>
      </c>
      <c r="L81" s="162"/>
      <c r="M81" s="145">
        <v>2</v>
      </c>
      <c r="N81" s="151" t="s">
        <v>158</v>
      </c>
      <c r="O81" s="160" t="e">
        <f t="shared" ref="O81:O97" si="25">IF(INDEX(Q1_Adult,4+$M81,22)="No data",NA(),INDEX(Q1_Adult,4+$M81,22))</f>
        <v>#N/A</v>
      </c>
    </row>
    <row r="82" spans="1:15" x14ac:dyDescent="0.3">
      <c r="A82" s="145">
        <v>9</v>
      </c>
      <c r="B82" s="151" t="s">
        <v>58</v>
      </c>
      <c r="C82" s="160" t="e">
        <f t="shared" si="22"/>
        <v>#N/A</v>
      </c>
      <c r="D82" s="162"/>
      <c r="E82" s="145">
        <v>9</v>
      </c>
      <c r="F82" s="151" t="s">
        <v>58</v>
      </c>
      <c r="G82" s="160" t="e">
        <f t="shared" si="23"/>
        <v>#N/A</v>
      </c>
      <c r="H82" s="162"/>
      <c r="I82" s="145">
        <v>11</v>
      </c>
      <c r="J82" s="151" t="s">
        <v>60</v>
      </c>
      <c r="K82" s="160" t="e">
        <f t="shared" si="24"/>
        <v>#N/A</v>
      </c>
      <c r="L82" s="162"/>
      <c r="M82" s="145">
        <v>11</v>
      </c>
      <c r="N82" s="151" t="s">
        <v>60</v>
      </c>
      <c r="O82" s="160" t="e">
        <f t="shared" si="25"/>
        <v>#N/A</v>
      </c>
    </row>
    <row r="83" spans="1:15" x14ac:dyDescent="0.3">
      <c r="A83" s="145">
        <v>14</v>
      </c>
      <c r="B83" s="151" t="s">
        <v>61</v>
      </c>
      <c r="C83" s="160" t="e">
        <f t="shared" si="22"/>
        <v>#N/A</v>
      </c>
      <c r="D83" s="162"/>
      <c r="E83" s="145">
        <v>14</v>
      </c>
      <c r="F83" s="151" t="s">
        <v>61</v>
      </c>
      <c r="G83" s="160" t="e">
        <f t="shared" si="23"/>
        <v>#N/A</v>
      </c>
      <c r="H83" s="162"/>
      <c r="I83" s="145">
        <v>13</v>
      </c>
      <c r="J83" s="151" t="s">
        <v>61</v>
      </c>
      <c r="K83" s="160" t="e">
        <f t="shared" si="24"/>
        <v>#N/A</v>
      </c>
      <c r="L83" s="162"/>
      <c r="M83" s="145">
        <v>13</v>
      </c>
      <c r="N83" s="151" t="s">
        <v>61</v>
      </c>
      <c r="O83" s="160" t="e">
        <f t="shared" si="25"/>
        <v>#N/A</v>
      </c>
    </row>
    <row r="84" spans="1:15" x14ac:dyDescent="0.3">
      <c r="A84" s="145">
        <v>18</v>
      </c>
      <c r="B84" s="151" t="s">
        <v>62</v>
      </c>
      <c r="C84" s="160" t="e">
        <f t="shared" si="22"/>
        <v>#N/A</v>
      </c>
      <c r="D84" s="162"/>
      <c r="E84" s="145">
        <v>18</v>
      </c>
      <c r="F84" s="151" t="s">
        <v>62</v>
      </c>
      <c r="G84" s="160" t="e">
        <f t="shared" si="23"/>
        <v>#N/A</v>
      </c>
      <c r="H84" s="162"/>
      <c r="I84" s="145">
        <v>14</v>
      </c>
      <c r="J84" s="151" t="s">
        <v>52</v>
      </c>
      <c r="K84" s="160" t="e">
        <f t="shared" si="24"/>
        <v>#N/A</v>
      </c>
      <c r="L84" s="162"/>
      <c r="M84" s="145">
        <v>14</v>
      </c>
      <c r="N84" s="151" t="s">
        <v>52</v>
      </c>
      <c r="O84" s="160" t="e">
        <f t="shared" si="25"/>
        <v>#N/A</v>
      </c>
    </row>
    <row r="85" spans="1:15" x14ac:dyDescent="0.3">
      <c r="A85" s="145">
        <v>7</v>
      </c>
      <c r="B85" s="151" t="s">
        <v>166</v>
      </c>
      <c r="C85" s="160">
        <f t="shared" si="22"/>
        <v>0</v>
      </c>
      <c r="D85" s="162"/>
      <c r="E85" s="145">
        <v>11</v>
      </c>
      <c r="F85" s="151" t="s">
        <v>164</v>
      </c>
      <c r="G85" s="160">
        <f t="shared" si="23"/>
        <v>0</v>
      </c>
      <c r="H85" s="162"/>
      <c r="I85" s="145">
        <v>17</v>
      </c>
      <c r="J85" s="151" t="s">
        <v>62</v>
      </c>
      <c r="K85" s="160" t="e">
        <f t="shared" si="24"/>
        <v>#N/A</v>
      </c>
      <c r="L85" s="162"/>
      <c r="M85" s="145">
        <v>17</v>
      </c>
      <c r="N85" s="151" t="s">
        <v>62</v>
      </c>
      <c r="O85" s="160" t="e">
        <f t="shared" si="25"/>
        <v>#N/A</v>
      </c>
    </row>
    <row r="86" spans="1:15" x14ac:dyDescent="0.3">
      <c r="A86" s="145">
        <v>17</v>
      </c>
      <c r="B86" s="151" t="s">
        <v>54</v>
      </c>
      <c r="C86" s="160">
        <f t="shared" si="22"/>
        <v>0.03</v>
      </c>
      <c r="D86" s="162"/>
      <c r="E86" s="145">
        <v>2</v>
      </c>
      <c r="F86" s="151" t="s">
        <v>158</v>
      </c>
      <c r="G86" s="160">
        <f t="shared" si="23"/>
        <v>0</v>
      </c>
      <c r="H86" s="162"/>
      <c r="I86" s="145">
        <v>1</v>
      </c>
      <c r="J86" s="151" t="s">
        <v>157</v>
      </c>
      <c r="K86" s="160">
        <f t="shared" si="24"/>
        <v>0</v>
      </c>
      <c r="L86" s="162"/>
      <c r="M86" s="145">
        <v>16</v>
      </c>
      <c r="N86" s="151" t="s">
        <v>54</v>
      </c>
      <c r="O86" s="160">
        <f t="shared" si="25"/>
        <v>0</v>
      </c>
    </row>
    <row r="87" spans="1:15" x14ac:dyDescent="0.3">
      <c r="A87" s="145">
        <v>8</v>
      </c>
      <c r="B87" s="151" t="s">
        <v>162</v>
      </c>
      <c r="C87" s="160">
        <f t="shared" si="22"/>
        <v>3.49E-2</v>
      </c>
      <c r="D87" s="162"/>
      <c r="E87" s="145">
        <v>4</v>
      </c>
      <c r="F87" s="151" t="s">
        <v>160</v>
      </c>
      <c r="G87" s="160">
        <f t="shared" si="23"/>
        <v>0</v>
      </c>
      <c r="H87" s="162"/>
      <c r="I87" s="145">
        <v>3</v>
      </c>
      <c r="J87" s="151" t="s">
        <v>159</v>
      </c>
      <c r="K87" s="160">
        <f t="shared" si="24"/>
        <v>0</v>
      </c>
      <c r="L87" s="162"/>
      <c r="M87" s="145">
        <v>1</v>
      </c>
      <c r="N87" s="151" t="s">
        <v>157</v>
      </c>
      <c r="O87" s="160">
        <f t="shared" si="25"/>
        <v>0</v>
      </c>
    </row>
    <row r="88" spans="1:15" x14ac:dyDescent="0.3">
      <c r="A88" s="145">
        <v>10</v>
      </c>
      <c r="B88" s="151" t="s">
        <v>59</v>
      </c>
      <c r="C88" s="160">
        <f t="shared" si="22"/>
        <v>0.04</v>
      </c>
      <c r="D88" s="162"/>
      <c r="E88" s="145">
        <v>7</v>
      </c>
      <c r="F88" s="151" t="s">
        <v>166</v>
      </c>
      <c r="G88" s="160">
        <f t="shared" si="23"/>
        <v>0</v>
      </c>
      <c r="H88" s="162"/>
      <c r="I88" s="145">
        <v>4</v>
      </c>
      <c r="J88" s="151" t="s">
        <v>160</v>
      </c>
      <c r="K88" s="160">
        <f t="shared" si="24"/>
        <v>0</v>
      </c>
      <c r="L88" s="162"/>
      <c r="M88" s="145">
        <v>3</v>
      </c>
      <c r="N88" s="151" t="s">
        <v>159</v>
      </c>
      <c r="O88" s="160">
        <f t="shared" si="25"/>
        <v>0</v>
      </c>
    </row>
    <row r="89" spans="1:15" x14ac:dyDescent="0.3">
      <c r="A89" s="145">
        <v>11</v>
      </c>
      <c r="B89" s="151" t="s">
        <v>164</v>
      </c>
      <c r="C89" s="160">
        <f t="shared" si="22"/>
        <v>0.06</v>
      </c>
      <c r="D89" s="162"/>
      <c r="E89" s="145">
        <v>13</v>
      </c>
      <c r="F89" s="151" t="s">
        <v>56</v>
      </c>
      <c r="G89" s="160">
        <f t="shared" si="23"/>
        <v>0</v>
      </c>
      <c r="H89" s="162"/>
      <c r="I89" s="145">
        <v>5</v>
      </c>
      <c r="J89" s="151" t="s">
        <v>161</v>
      </c>
      <c r="K89" s="160">
        <f t="shared" si="24"/>
        <v>0</v>
      </c>
      <c r="L89" s="162"/>
      <c r="M89" s="145">
        <v>4</v>
      </c>
      <c r="N89" s="151" t="s">
        <v>160</v>
      </c>
      <c r="O89" s="160">
        <f t="shared" si="25"/>
        <v>0</v>
      </c>
    </row>
    <row r="90" spans="1:15" x14ac:dyDescent="0.3">
      <c r="A90" s="145">
        <v>12</v>
      </c>
      <c r="B90" s="151" t="s">
        <v>60</v>
      </c>
      <c r="C90" s="160">
        <f t="shared" si="22"/>
        <v>0.06</v>
      </c>
      <c r="D90" s="162"/>
      <c r="E90" s="145">
        <v>17</v>
      </c>
      <c r="F90" s="151" t="s">
        <v>54</v>
      </c>
      <c r="G90" s="160">
        <f t="shared" si="23"/>
        <v>0</v>
      </c>
      <c r="H90" s="162"/>
      <c r="I90" s="145">
        <v>6</v>
      </c>
      <c r="J90" s="151" t="s">
        <v>165</v>
      </c>
      <c r="K90" s="160">
        <f t="shared" si="24"/>
        <v>0</v>
      </c>
      <c r="L90" s="162"/>
      <c r="M90" s="145">
        <v>5</v>
      </c>
      <c r="N90" s="151" t="s">
        <v>161</v>
      </c>
      <c r="O90" s="160">
        <f t="shared" si="25"/>
        <v>0</v>
      </c>
    </row>
    <row r="91" spans="1:15" x14ac:dyDescent="0.3">
      <c r="A91" s="145">
        <v>15</v>
      </c>
      <c r="B91" s="151" t="s">
        <v>52</v>
      </c>
      <c r="C91" s="160">
        <f t="shared" si="22"/>
        <v>7.0000000000000007E-2</v>
      </c>
      <c r="D91" s="162"/>
      <c r="E91" s="145">
        <v>8</v>
      </c>
      <c r="F91" s="151" t="s">
        <v>162</v>
      </c>
      <c r="G91" s="160">
        <f t="shared" si="23"/>
        <v>0</v>
      </c>
      <c r="H91" s="162"/>
      <c r="I91" s="145">
        <v>7</v>
      </c>
      <c r="J91" s="151" t="s">
        <v>166</v>
      </c>
      <c r="K91" s="160">
        <f t="shared" si="24"/>
        <v>0</v>
      </c>
      <c r="L91" s="162"/>
      <c r="M91" s="145">
        <v>7</v>
      </c>
      <c r="N91" s="151" t="s">
        <v>166</v>
      </c>
      <c r="O91" s="160">
        <f t="shared" si="25"/>
        <v>0</v>
      </c>
    </row>
    <row r="92" spans="1:15" x14ac:dyDescent="0.3">
      <c r="A92" s="145">
        <v>1</v>
      </c>
      <c r="B92" s="151" t="s">
        <v>157</v>
      </c>
      <c r="C92" s="160">
        <f t="shared" si="22"/>
        <v>9.0999999999999998E-2</v>
      </c>
      <c r="D92" s="162"/>
      <c r="E92" s="145">
        <v>16</v>
      </c>
      <c r="F92" s="151" t="s">
        <v>57</v>
      </c>
      <c r="G92" s="160">
        <f t="shared" si="23"/>
        <v>0.02</v>
      </c>
      <c r="H92" s="162"/>
      <c r="I92" s="145">
        <v>8</v>
      </c>
      <c r="J92" s="151" t="s">
        <v>162</v>
      </c>
      <c r="K92" s="160">
        <f t="shared" si="24"/>
        <v>0</v>
      </c>
      <c r="L92" s="162"/>
      <c r="M92" s="145">
        <v>8</v>
      </c>
      <c r="N92" s="151" t="s">
        <v>162</v>
      </c>
      <c r="O92" s="160">
        <f t="shared" si="25"/>
        <v>0</v>
      </c>
    </row>
    <row r="93" spans="1:15" x14ac:dyDescent="0.3">
      <c r="A93" s="145">
        <v>2</v>
      </c>
      <c r="B93" s="151" t="s">
        <v>158</v>
      </c>
      <c r="C93" s="160">
        <f t="shared" si="22"/>
        <v>0.10199999999999999</v>
      </c>
      <c r="D93" s="162"/>
      <c r="E93" s="145">
        <v>12</v>
      </c>
      <c r="F93" s="151" t="s">
        <v>60</v>
      </c>
      <c r="G93" s="160">
        <f t="shared" si="23"/>
        <v>0.03</v>
      </c>
      <c r="H93" s="162"/>
      <c r="I93" s="145">
        <v>16</v>
      </c>
      <c r="J93" s="151" t="s">
        <v>54</v>
      </c>
      <c r="K93" s="160">
        <f t="shared" si="24"/>
        <v>2.5000000000000001E-3</v>
      </c>
      <c r="L93" s="162"/>
      <c r="M93" s="145">
        <v>10</v>
      </c>
      <c r="N93" s="151" t="s">
        <v>164</v>
      </c>
      <c r="O93" s="160">
        <f t="shared" si="25"/>
        <v>0</v>
      </c>
    </row>
    <row r="94" spans="1:15" x14ac:dyDescent="0.3">
      <c r="A94" s="145">
        <v>13</v>
      </c>
      <c r="B94" s="151" t="s">
        <v>56</v>
      </c>
      <c r="C94" s="160">
        <f t="shared" si="22"/>
        <v>0.1091</v>
      </c>
      <c r="D94" s="162"/>
      <c r="E94" s="145">
        <v>5</v>
      </c>
      <c r="F94" s="151" t="s">
        <v>161</v>
      </c>
      <c r="G94" s="160">
        <f t="shared" si="23"/>
        <v>3.6999999999999998E-2</v>
      </c>
      <c r="H94" s="162"/>
      <c r="I94" s="145">
        <v>10</v>
      </c>
      <c r="J94" s="151" t="s">
        <v>164</v>
      </c>
      <c r="K94" s="160">
        <f t="shared" si="24"/>
        <v>0.08</v>
      </c>
      <c r="L94" s="162"/>
      <c r="M94" s="145">
        <v>6</v>
      </c>
      <c r="N94" s="151" t="s">
        <v>165</v>
      </c>
      <c r="O94" s="160">
        <f t="shared" si="25"/>
        <v>7.4999999999999997E-2</v>
      </c>
    </row>
    <row r="95" spans="1:15" x14ac:dyDescent="0.3">
      <c r="A95" s="145">
        <v>3</v>
      </c>
      <c r="B95" s="151" t="s">
        <v>159</v>
      </c>
      <c r="C95" s="160">
        <f t="shared" si="22"/>
        <v>0.15</v>
      </c>
      <c r="D95" s="162"/>
      <c r="E95" s="145">
        <v>10</v>
      </c>
      <c r="F95" s="151" t="s">
        <v>59</v>
      </c>
      <c r="G95" s="160">
        <f t="shared" si="23"/>
        <v>0.04</v>
      </c>
      <c r="H95" s="162"/>
      <c r="I95" s="145">
        <v>9</v>
      </c>
      <c r="J95" s="151" t="s">
        <v>58</v>
      </c>
      <c r="K95" s="160">
        <f t="shared" si="24"/>
        <v>0.14000000000000001</v>
      </c>
      <c r="L95" s="162"/>
      <c r="M95" s="145">
        <v>9</v>
      </c>
      <c r="N95" s="151" t="s">
        <v>58</v>
      </c>
      <c r="O95" s="160">
        <f t="shared" si="25"/>
        <v>0.14000000000000001</v>
      </c>
    </row>
    <row r="96" spans="1:15" x14ac:dyDescent="0.3">
      <c r="A96" s="145">
        <v>16</v>
      </c>
      <c r="B96" s="151" t="s">
        <v>57</v>
      </c>
      <c r="C96" s="160">
        <f t="shared" si="22"/>
        <v>0.15</v>
      </c>
      <c r="D96" s="162"/>
      <c r="E96" s="145">
        <v>15</v>
      </c>
      <c r="F96" s="151" t="s">
        <v>52</v>
      </c>
      <c r="G96" s="160">
        <f t="shared" si="23"/>
        <v>0.04</v>
      </c>
      <c r="H96" s="162"/>
      <c r="I96" s="145">
        <v>12</v>
      </c>
      <c r="J96" s="151" t="s">
        <v>56</v>
      </c>
      <c r="K96" s="160">
        <f t="shared" si="24"/>
        <v>0.148148148148148</v>
      </c>
      <c r="L96" s="162"/>
      <c r="M96" s="145">
        <v>12</v>
      </c>
      <c r="N96" s="151" t="s">
        <v>56</v>
      </c>
      <c r="O96" s="160">
        <f t="shared" si="25"/>
        <v>0.148148148148148</v>
      </c>
    </row>
    <row r="97" spans="1:15" x14ac:dyDescent="0.3">
      <c r="A97" s="145">
        <v>4</v>
      </c>
      <c r="B97" s="151" t="s">
        <v>160</v>
      </c>
      <c r="C97" s="160">
        <f t="shared" si="22"/>
        <v>0.25929999999999997</v>
      </c>
      <c r="D97" s="162"/>
      <c r="E97" s="145">
        <v>3</v>
      </c>
      <c r="F97" s="151" t="s">
        <v>159</v>
      </c>
      <c r="G97" s="160">
        <f t="shared" si="23"/>
        <v>0.05</v>
      </c>
      <c r="H97" s="162"/>
      <c r="I97" s="146">
        <v>15</v>
      </c>
      <c r="J97" s="154" t="s">
        <v>57</v>
      </c>
      <c r="K97" s="160">
        <f t="shared" si="24"/>
        <v>0.15</v>
      </c>
      <c r="L97" s="162"/>
      <c r="M97" s="146">
        <v>15</v>
      </c>
      <c r="N97" s="154" t="s">
        <v>57</v>
      </c>
      <c r="O97" s="160">
        <f t="shared" si="25"/>
        <v>0.2</v>
      </c>
    </row>
    <row r="98" spans="1:15" x14ac:dyDescent="0.3">
      <c r="A98" s="146">
        <v>5</v>
      </c>
      <c r="B98" s="154" t="s">
        <v>161</v>
      </c>
      <c r="C98" s="161">
        <f t="shared" si="22"/>
        <v>0.28499999999999998</v>
      </c>
      <c r="D98" s="162"/>
      <c r="E98" s="146">
        <v>1</v>
      </c>
      <c r="F98" s="154" t="s">
        <v>157</v>
      </c>
      <c r="G98" s="161">
        <f t="shared" si="23"/>
        <v>0.11899999999999999</v>
      </c>
      <c r="H98" s="162"/>
    </row>
    <row r="99" spans="1:15" s="41" customFormat="1" x14ac:dyDescent="0.3">
      <c r="B99" s="75"/>
      <c r="C99" s="105"/>
      <c r="D99" s="105"/>
      <c r="E99" s="75"/>
      <c r="F99" s="105"/>
    </row>
    <row r="100" spans="1:15" ht="18" x14ac:dyDescent="0.3">
      <c r="B100" s="106" t="s">
        <v>174</v>
      </c>
      <c r="F100" s="106" t="s">
        <v>176</v>
      </c>
    </row>
    <row r="101" spans="1:15" x14ac:dyDescent="0.3">
      <c r="A101" s="239" t="s">
        <v>75</v>
      </c>
      <c r="B101" s="414" t="s">
        <v>173</v>
      </c>
      <c r="C101" s="415"/>
      <c r="D101" s="240"/>
      <c r="E101" s="241" t="s">
        <v>75</v>
      </c>
      <c r="F101" s="416" t="s">
        <v>4</v>
      </c>
      <c r="G101" s="416"/>
      <c r="H101" s="416" t="s">
        <v>5</v>
      </c>
      <c r="I101" s="416"/>
      <c r="J101" s="416" t="s">
        <v>6</v>
      </c>
      <c r="K101" s="416"/>
      <c r="L101" s="416" t="s">
        <v>7</v>
      </c>
      <c r="M101" s="416"/>
    </row>
    <row r="102" spans="1:15" ht="15" customHeight="1" x14ac:dyDescent="0.3">
      <c r="A102" s="242" t="s">
        <v>53</v>
      </c>
      <c r="B102" s="243" t="s">
        <v>1</v>
      </c>
      <c r="C102" s="244" t="s">
        <v>76</v>
      </c>
      <c r="D102" s="240"/>
      <c r="E102" s="245" t="s">
        <v>53</v>
      </c>
      <c r="F102" s="246" t="s">
        <v>1</v>
      </c>
      <c r="G102" s="247" t="s">
        <v>76</v>
      </c>
      <c r="H102" s="248" t="s">
        <v>1</v>
      </c>
      <c r="I102" s="249" t="s">
        <v>76</v>
      </c>
      <c r="J102" s="250" t="s">
        <v>1</v>
      </c>
      <c r="K102" s="247" t="s">
        <v>76</v>
      </c>
      <c r="L102" s="251" t="s">
        <v>1</v>
      </c>
      <c r="M102" s="249" t="s">
        <v>76</v>
      </c>
      <c r="N102" s="46"/>
    </row>
    <row r="103" spans="1:15" x14ac:dyDescent="0.3">
      <c r="A103" s="252" t="s">
        <v>172</v>
      </c>
      <c r="B103" s="253">
        <f>_xlfn.AGGREGATE(4,6,$K$81:$K$97)</f>
        <v>0.15</v>
      </c>
      <c r="C103" s="254">
        <f>_xlfn.AGGREGATE(4,6,$O$81:$O$97)</f>
        <v>0.2</v>
      </c>
      <c r="D103" s="240"/>
      <c r="E103" s="241" t="s">
        <v>172</v>
      </c>
      <c r="F103" s="255">
        <v>0.15</v>
      </c>
      <c r="G103" s="256">
        <v>0.2</v>
      </c>
      <c r="H103" s="255"/>
      <c r="I103" s="256"/>
      <c r="J103" s="257"/>
      <c r="K103" s="256"/>
      <c r="L103" s="258"/>
      <c r="M103" s="256"/>
      <c r="N103" s="46"/>
    </row>
    <row r="104" spans="1:15" x14ac:dyDescent="0.3">
      <c r="A104" s="252" t="s">
        <v>170</v>
      </c>
      <c r="B104" s="253">
        <f>_xlfn.AGGREGATE(5,6,$K$81:$K$97)</f>
        <v>0</v>
      </c>
      <c r="C104" s="254">
        <f>_xlfn.AGGREGATE(5,6,$O$81:$O$97)</f>
        <v>0</v>
      </c>
      <c r="D104" s="240"/>
      <c r="E104" s="241" t="s">
        <v>170</v>
      </c>
      <c r="F104" s="255">
        <v>0</v>
      </c>
      <c r="G104" s="256">
        <v>0</v>
      </c>
      <c r="H104" s="255"/>
      <c r="I104" s="256"/>
      <c r="J104" s="257"/>
      <c r="K104" s="256"/>
      <c r="L104" s="258"/>
      <c r="M104" s="256"/>
      <c r="N104" s="46"/>
    </row>
    <row r="105" spans="1:15" x14ac:dyDescent="0.3">
      <c r="A105" s="259" t="s">
        <v>171</v>
      </c>
      <c r="B105" s="260">
        <f>_xlfn.AGGREGATE(12,6,$K$81:$K$97)</f>
        <v>0</v>
      </c>
      <c r="C105" s="261">
        <f>_xlfn.AGGREGATE(12,6,$O$81:$O$97)</f>
        <v>0</v>
      </c>
      <c r="D105" s="240"/>
      <c r="E105" s="241" t="s">
        <v>171</v>
      </c>
      <c r="F105" s="262">
        <v>0</v>
      </c>
      <c r="G105" s="263">
        <v>0</v>
      </c>
      <c r="H105" s="262"/>
      <c r="I105" s="263"/>
      <c r="J105" s="264"/>
      <c r="K105" s="263"/>
      <c r="L105" s="265"/>
      <c r="M105" s="263"/>
      <c r="N105" s="46"/>
    </row>
    <row r="106" spans="1:15" x14ac:dyDescent="0.3">
      <c r="A106" s="240"/>
      <c r="B106" s="240"/>
      <c r="C106" s="240"/>
      <c r="D106" s="240"/>
      <c r="E106" s="240"/>
      <c r="F106" s="240"/>
      <c r="G106" s="240"/>
      <c r="H106" s="240"/>
      <c r="I106" s="240"/>
      <c r="J106" s="240"/>
      <c r="K106" s="240"/>
      <c r="L106" s="240"/>
      <c r="M106" s="240"/>
    </row>
    <row r="107" spans="1:15" x14ac:dyDescent="0.3">
      <c r="A107" s="250" t="s">
        <v>77</v>
      </c>
      <c r="B107" s="414" t="s">
        <v>173</v>
      </c>
      <c r="C107" s="415"/>
      <c r="D107" s="240"/>
      <c r="E107" s="266" t="s">
        <v>77</v>
      </c>
      <c r="F107" s="416" t="s">
        <v>4</v>
      </c>
      <c r="G107" s="416"/>
      <c r="H107" s="416" t="s">
        <v>5</v>
      </c>
      <c r="I107" s="416"/>
      <c r="J107" s="416" t="s">
        <v>6</v>
      </c>
      <c r="K107" s="416"/>
      <c r="L107" s="416" t="s">
        <v>7</v>
      </c>
      <c r="M107" s="416"/>
    </row>
    <row r="108" spans="1:15" x14ac:dyDescent="0.3">
      <c r="A108" s="267" t="s">
        <v>12</v>
      </c>
      <c r="B108" s="268" t="s">
        <v>1</v>
      </c>
      <c r="C108" s="269" t="s">
        <v>76</v>
      </c>
      <c r="D108" s="240"/>
      <c r="E108" s="266" t="s">
        <v>12</v>
      </c>
      <c r="F108" s="246" t="s">
        <v>1</v>
      </c>
      <c r="G108" s="247" t="s">
        <v>76</v>
      </c>
      <c r="H108" s="248" t="s">
        <v>1</v>
      </c>
      <c r="I108" s="249" t="s">
        <v>76</v>
      </c>
      <c r="J108" s="250" t="s">
        <v>1</v>
      </c>
      <c r="K108" s="247" t="s">
        <v>76</v>
      </c>
      <c r="L108" s="251" t="s">
        <v>1</v>
      </c>
      <c r="M108" s="249" t="s">
        <v>76</v>
      </c>
    </row>
    <row r="109" spans="1:15" x14ac:dyDescent="0.3">
      <c r="A109" s="252" t="s">
        <v>172</v>
      </c>
      <c r="B109" s="253">
        <f>_xlfn.AGGREGATE(4,6,$C$81:$C$98)</f>
        <v>0.28499999999999998</v>
      </c>
      <c r="C109" s="254">
        <f>_xlfn.AGGREGATE(4,6,$G$81:$G$98)</f>
        <v>0.11899999999999999</v>
      </c>
      <c r="D109" s="240"/>
      <c r="E109" s="241" t="s">
        <v>172</v>
      </c>
      <c r="F109" s="255">
        <v>0.28999999999999998</v>
      </c>
      <c r="G109" s="256">
        <v>0.12</v>
      </c>
      <c r="H109" s="255"/>
      <c r="I109" s="256"/>
      <c r="J109" s="257"/>
      <c r="K109" s="256"/>
      <c r="L109" s="258"/>
      <c r="M109" s="256"/>
    </row>
    <row r="110" spans="1:15" x14ac:dyDescent="0.3">
      <c r="A110" s="252" t="s">
        <v>170</v>
      </c>
      <c r="B110" s="253">
        <f>_xlfn.AGGREGATE(5,6,$C$81:$C$98)</f>
        <v>0</v>
      </c>
      <c r="C110" s="254">
        <f>_xlfn.AGGREGATE(5,6,$G$81:$G$98)</f>
        <v>0</v>
      </c>
      <c r="D110" s="240"/>
      <c r="E110" s="241" t="s">
        <v>170</v>
      </c>
      <c r="F110" s="255">
        <v>0</v>
      </c>
      <c r="G110" s="256">
        <v>0</v>
      </c>
      <c r="H110" s="255"/>
      <c r="I110" s="256"/>
      <c r="J110" s="257"/>
      <c r="K110" s="256"/>
      <c r="L110" s="258"/>
      <c r="M110" s="256"/>
    </row>
    <row r="111" spans="1:15" x14ac:dyDescent="0.3">
      <c r="A111" s="259" t="s">
        <v>171</v>
      </c>
      <c r="B111" s="260">
        <f>_xlfn.AGGREGATE(12,6,$C$81:$C$98)</f>
        <v>8.0500000000000002E-2</v>
      </c>
      <c r="C111" s="261">
        <f>_xlfn.AGGREGATE(12,6,$G$81:$G$98)</f>
        <v>0.01</v>
      </c>
      <c r="D111" s="240"/>
      <c r="E111" s="241" t="s">
        <v>171</v>
      </c>
      <c r="F111" s="262">
        <v>0.08</v>
      </c>
      <c r="G111" s="263">
        <v>0.01</v>
      </c>
      <c r="H111" s="262"/>
      <c r="I111" s="263"/>
      <c r="J111" s="264"/>
      <c r="K111" s="263"/>
      <c r="L111" s="265"/>
      <c r="M111" s="263"/>
    </row>
  </sheetData>
  <sortState xmlns:xlrd2="http://schemas.microsoft.com/office/spreadsheetml/2017/richdata2" ref="M86:O97">
    <sortCondition ref="O86:O97"/>
  </sortState>
  <mergeCells count="10">
    <mergeCell ref="L101:M101"/>
    <mergeCell ref="F107:G107"/>
    <mergeCell ref="H107:I107"/>
    <mergeCell ref="J107:K107"/>
    <mergeCell ref="L107:M107"/>
    <mergeCell ref="B101:C101"/>
    <mergeCell ref="B107:C107"/>
    <mergeCell ref="F101:G101"/>
    <mergeCell ref="H101:I101"/>
    <mergeCell ref="J101:K101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0000"/>
  </sheetPr>
  <dimension ref="A1:P111"/>
  <sheetViews>
    <sheetView topLeftCell="A79" zoomScale="90" zoomScaleNormal="90" workbookViewId="0">
      <selection activeCell="O17" sqref="O17"/>
    </sheetView>
  </sheetViews>
  <sheetFormatPr defaultColWidth="8.6640625" defaultRowHeight="14.4" x14ac:dyDescent="0.3"/>
  <cols>
    <col min="1" max="16" width="12.33203125" style="33" customWidth="1"/>
    <col min="17" max="16384" width="8.6640625" style="33"/>
  </cols>
  <sheetData>
    <row r="1" spans="1:12" ht="23.4" x14ac:dyDescent="0.45">
      <c r="A1" s="104" t="s">
        <v>189</v>
      </c>
      <c r="B1" s="164" t="s">
        <v>187</v>
      </c>
    </row>
    <row r="3" spans="1:12" x14ac:dyDescent="0.3">
      <c r="A3" s="195"/>
      <c r="B3" s="34" t="s">
        <v>147</v>
      </c>
      <c r="E3" s="195"/>
    </row>
    <row r="4" spans="1:12" x14ac:dyDescent="0.3">
      <c r="A4" s="195"/>
      <c r="B4" s="34" t="s">
        <v>148</v>
      </c>
      <c r="E4" s="195"/>
    </row>
    <row r="5" spans="1:12" x14ac:dyDescent="0.3">
      <c r="A5" s="195"/>
      <c r="B5" s="34" t="s">
        <v>149</v>
      </c>
      <c r="E5" s="195"/>
    </row>
    <row r="6" spans="1:12" s="101" customFormat="1" ht="21" x14ac:dyDescent="0.4">
      <c r="A6" s="196"/>
      <c r="B6" s="100" t="s">
        <v>106</v>
      </c>
      <c r="E6" s="196"/>
    </row>
    <row r="7" spans="1:12" s="103" customFormat="1" ht="43.5" customHeight="1" x14ac:dyDescent="0.4">
      <c r="A7" s="197"/>
      <c r="B7" s="104" t="s">
        <v>156</v>
      </c>
      <c r="E7" s="197"/>
    </row>
    <row r="8" spans="1:12" x14ac:dyDescent="0.3">
      <c r="B8" s="34" t="s">
        <v>188</v>
      </c>
      <c r="H8" s="195"/>
      <c r="I8" s="198" t="s">
        <v>53</v>
      </c>
      <c r="J8" s="195"/>
      <c r="K8" s="195"/>
      <c r="L8" s="195"/>
    </row>
    <row r="9" spans="1:12" ht="28.8" x14ac:dyDescent="0.3">
      <c r="A9" s="144"/>
      <c r="B9" s="157"/>
      <c r="C9" s="149" t="s">
        <v>9</v>
      </c>
      <c r="D9" s="149" t="s">
        <v>17</v>
      </c>
      <c r="E9" s="150" t="s">
        <v>33</v>
      </c>
      <c r="H9" s="144"/>
      <c r="I9" s="140"/>
      <c r="J9" s="149" t="s">
        <v>9</v>
      </c>
      <c r="K9" s="149" t="s">
        <v>17</v>
      </c>
      <c r="L9" s="150" t="s">
        <v>33</v>
      </c>
    </row>
    <row r="10" spans="1:12" x14ac:dyDescent="0.3">
      <c r="A10" s="145">
        <v>9</v>
      </c>
      <c r="B10" s="151" t="s">
        <v>58</v>
      </c>
      <c r="C10" s="152" t="e">
        <f t="shared" ref="C10:C27" si="0">IF(INDEX(Q2_Paeds,4+$A10,7)="No data",NA(),INDEX(Q2_Paeds,4+$A10,7))</f>
        <v>#N/A</v>
      </c>
      <c r="D10" s="152" t="e">
        <f t="shared" ref="D10:D27" si="1">IF(INDEX(Q2_Paeds,4+$A10,8)="No data",NA(),INDEX(Q2_Paeds,4+$A10,8))</f>
        <v>#N/A</v>
      </c>
      <c r="E10" s="153" t="e">
        <f t="shared" ref="E10:E27" si="2">MAX(C10:D10)</f>
        <v>#N/A</v>
      </c>
      <c r="H10" s="145">
        <v>6</v>
      </c>
      <c r="I10" s="151" t="s">
        <v>165</v>
      </c>
      <c r="J10" s="152" t="e">
        <f t="shared" ref="J10" si="3">IF(INDEX(Q2_Adult,4+$H10,7)="No data",NA(),INDEX(Q2_Adult,4+$H10,7))</f>
        <v>#N/A</v>
      </c>
      <c r="K10" s="152" t="e">
        <f t="shared" ref="K10" si="4">IF(INDEX(Q2_Adult,4+$H10,8)="No data",NA(),INDEX(Q2_Adult,4+$H10,8))</f>
        <v>#N/A</v>
      </c>
      <c r="L10" s="153" t="e">
        <f t="shared" ref="L10" si="5">MAX(J10:K10)</f>
        <v>#N/A</v>
      </c>
    </row>
    <row r="11" spans="1:12" x14ac:dyDescent="0.3">
      <c r="A11" s="145">
        <v>13</v>
      </c>
      <c r="B11" s="151" t="s">
        <v>56</v>
      </c>
      <c r="C11" s="152" t="e">
        <f t="shared" si="0"/>
        <v>#N/A</v>
      </c>
      <c r="D11" s="152" t="e">
        <f t="shared" si="1"/>
        <v>#N/A</v>
      </c>
      <c r="E11" s="153" t="e">
        <f t="shared" si="2"/>
        <v>#N/A</v>
      </c>
      <c r="H11" s="145">
        <v>11</v>
      </c>
      <c r="I11" s="151" t="s">
        <v>60</v>
      </c>
      <c r="J11" s="152" t="e">
        <f t="shared" ref="J11:J26" si="6">IF(INDEX(Q2_Adult,4+$H11,7)="No data",NA(),INDEX(Q2_Adult,4+$H11,7))</f>
        <v>#N/A</v>
      </c>
      <c r="K11" s="152" t="e">
        <f t="shared" ref="K11:K26" si="7">IF(INDEX(Q2_Adult,4+$H11,8)="No data",NA(),INDEX(Q2_Adult,4+$H11,8))</f>
        <v>#N/A</v>
      </c>
      <c r="L11" s="153" t="e">
        <f t="shared" ref="L11:L26" si="8">MAX(J11:K11)</f>
        <v>#N/A</v>
      </c>
    </row>
    <row r="12" spans="1:12" x14ac:dyDescent="0.3">
      <c r="A12" s="145">
        <v>14</v>
      </c>
      <c r="B12" s="151" t="s">
        <v>61</v>
      </c>
      <c r="C12" s="152" t="e">
        <f t="shared" si="0"/>
        <v>#N/A</v>
      </c>
      <c r="D12" s="152" t="e">
        <f t="shared" si="1"/>
        <v>#N/A</v>
      </c>
      <c r="E12" s="153" t="e">
        <f t="shared" si="2"/>
        <v>#N/A</v>
      </c>
      <c r="H12" s="145">
        <v>14</v>
      </c>
      <c r="I12" s="151" t="s">
        <v>52</v>
      </c>
      <c r="J12" s="152" t="e">
        <f t="shared" si="6"/>
        <v>#N/A</v>
      </c>
      <c r="K12" s="152" t="e">
        <f t="shared" si="7"/>
        <v>#N/A</v>
      </c>
      <c r="L12" s="153" t="e">
        <f t="shared" si="8"/>
        <v>#N/A</v>
      </c>
    </row>
    <row r="13" spans="1:12" x14ac:dyDescent="0.3">
      <c r="A13" s="145">
        <v>3</v>
      </c>
      <c r="B13" s="151" t="s">
        <v>159</v>
      </c>
      <c r="C13" s="152">
        <f t="shared" si="0"/>
        <v>0</v>
      </c>
      <c r="D13" s="152">
        <f t="shared" si="1"/>
        <v>0</v>
      </c>
      <c r="E13" s="153">
        <f t="shared" si="2"/>
        <v>0</v>
      </c>
      <c r="H13" s="145">
        <v>17</v>
      </c>
      <c r="I13" s="151" t="s">
        <v>62</v>
      </c>
      <c r="J13" s="152" t="e">
        <f t="shared" si="6"/>
        <v>#N/A</v>
      </c>
      <c r="K13" s="152" t="e">
        <f t="shared" si="7"/>
        <v>#N/A</v>
      </c>
      <c r="L13" s="153" t="e">
        <f t="shared" si="8"/>
        <v>#N/A</v>
      </c>
    </row>
    <row r="14" spans="1:12" x14ac:dyDescent="0.3">
      <c r="A14" s="145">
        <v>15</v>
      </c>
      <c r="B14" s="151" t="s">
        <v>52</v>
      </c>
      <c r="C14" s="152">
        <f t="shared" si="0"/>
        <v>0</v>
      </c>
      <c r="D14" s="152">
        <f t="shared" si="1"/>
        <v>0</v>
      </c>
      <c r="E14" s="153">
        <f t="shared" si="2"/>
        <v>0</v>
      </c>
      <c r="H14" s="145">
        <v>1</v>
      </c>
      <c r="I14" s="151" t="s">
        <v>157</v>
      </c>
      <c r="J14" s="152">
        <f t="shared" si="6"/>
        <v>0</v>
      </c>
      <c r="K14" s="152">
        <f t="shared" si="7"/>
        <v>0</v>
      </c>
      <c r="L14" s="153">
        <f t="shared" si="8"/>
        <v>0</v>
      </c>
    </row>
    <row r="15" spans="1:12" x14ac:dyDescent="0.3">
      <c r="A15" s="145">
        <v>17</v>
      </c>
      <c r="B15" s="151" t="s">
        <v>54</v>
      </c>
      <c r="C15" s="152">
        <f t="shared" si="0"/>
        <v>4</v>
      </c>
      <c r="D15" s="152">
        <f t="shared" si="1"/>
        <v>4</v>
      </c>
      <c r="E15" s="153">
        <f t="shared" si="2"/>
        <v>4</v>
      </c>
      <c r="H15" s="145">
        <v>3</v>
      </c>
      <c r="I15" s="151" t="s">
        <v>159</v>
      </c>
      <c r="J15" s="152">
        <f t="shared" si="6"/>
        <v>0</v>
      </c>
      <c r="K15" s="152">
        <f t="shared" si="7"/>
        <v>0</v>
      </c>
      <c r="L15" s="153">
        <f t="shared" si="8"/>
        <v>0</v>
      </c>
    </row>
    <row r="16" spans="1:12" x14ac:dyDescent="0.3">
      <c r="A16" s="145">
        <v>8</v>
      </c>
      <c r="B16" s="151" t="s">
        <v>162</v>
      </c>
      <c r="C16" s="152">
        <f t="shared" si="0"/>
        <v>6.33</v>
      </c>
      <c r="D16" s="152">
        <f t="shared" si="1"/>
        <v>9.2899999999999991</v>
      </c>
      <c r="E16" s="153">
        <f t="shared" si="2"/>
        <v>9.2899999999999991</v>
      </c>
      <c r="H16" s="145">
        <v>4</v>
      </c>
      <c r="I16" s="151" t="s">
        <v>160</v>
      </c>
      <c r="J16" s="152">
        <f t="shared" si="6"/>
        <v>0</v>
      </c>
      <c r="K16" s="152">
        <f t="shared" si="7"/>
        <v>0</v>
      </c>
      <c r="L16" s="153">
        <f t="shared" si="8"/>
        <v>0</v>
      </c>
    </row>
    <row r="17" spans="1:16" x14ac:dyDescent="0.3">
      <c r="A17" s="145">
        <v>18</v>
      </c>
      <c r="B17" s="151" t="s">
        <v>62</v>
      </c>
      <c r="C17" s="152">
        <f t="shared" si="0"/>
        <v>7</v>
      </c>
      <c r="D17" s="152">
        <f t="shared" si="1"/>
        <v>10</v>
      </c>
      <c r="E17" s="153">
        <f t="shared" si="2"/>
        <v>10</v>
      </c>
      <c r="H17" s="145">
        <v>5</v>
      </c>
      <c r="I17" s="151" t="s">
        <v>161</v>
      </c>
      <c r="J17" s="152">
        <f t="shared" si="6"/>
        <v>0</v>
      </c>
      <c r="K17" s="152">
        <f t="shared" si="7"/>
        <v>0</v>
      </c>
      <c r="L17" s="153">
        <f t="shared" si="8"/>
        <v>0</v>
      </c>
    </row>
    <row r="18" spans="1:16" x14ac:dyDescent="0.3">
      <c r="A18" s="145">
        <v>4</v>
      </c>
      <c r="B18" s="151" t="s">
        <v>160</v>
      </c>
      <c r="C18" s="152">
        <f t="shared" si="0"/>
        <v>13</v>
      </c>
      <c r="D18" s="152">
        <f t="shared" si="1"/>
        <v>3</v>
      </c>
      <c r="E18" s="153">
        <f t="shared" si="2"/>
        <v>13</v>
      </c>
      <c r="H18" s="145">
        <v>7</v>
      </c>
      <c r="I18" s="151" t="s">
        <v>166</v>
      </c>
      <c r="J18" s="152">
        <f t="shared" si="6"/>
        <v>0</v>
      </c>
      <c r="K18" s="152">
        <f t="shared" si="7"/>
        <v>0</v>
      </c>
      <c r="L18" s="153">
        <f t="shared" si="8"/>
        <v>0</v>
      </c>
    </row>
    <row r="19" spans="1:16" x14ac:dyDescent="0.3">
      <c r="A19" s="145">
        <v>5</v>
      </c>
      <c r="B19" s="151" t="s">
        <v>161</v>
      </c>
      <c r="C19" s="152">
        <f t="shared" si="0"/>
        <v>14</v>
      </c>
      <c r="D19" s="152">
        <f t="shared" si="1"/>
        <v>14</v>
      </c>
      <c r="E19" s="153">
        <f t="shared" si="2"/>
        <v>14</v>
      </c>
      <c r="H19" s="145">
        <v>15</v>
      </c>
      <c r="I19" s="151" t="s">
        <v>57</v>
      </c>
      <c r="J19" s="152">
        <f t="shared" si="6"/>
        <v>2</v>
      </c>
      <c r="K19" s="152">
        <f t="shared" si="7"/>
        <v>8</v>
      </c>
      <c r="L19" s="153">
        <f t="shared" si="8"/>
        <v>8</v>
      </c>
    </row>
    <row r="20" spans="1:16" x14ac:dyDescent="0.3">
      <c r="A20" s="145">
        <v>2</v>
      </c>
      <c r="B20" s="151" t="s">
        <v>158</v>
      </c>
      <c r="C20" s="152">
        <f t="shared" si="0"/>
        <v>17</v>
      </c>
      <c r="D20" s="152">
        <f t="shared" si="1"/>
        <v>0</v>
      </c>
      <c r="E20" s="153">
        <f t="shared" si="2"/>
        <v>17</v>
      </c>
      <c r="H20" s="145">
        <v>8</v>
      </c>
      <c r="I20" s="151" t="s">
        <v>162</v>
      </c>
      <c r="J20" s="152">
        <f t="shared" si="6"/>
        <v>3</v>
      </c>
      <c r="K20" s="152">
        <f t="shared" si="7"/>
        <v>0</v>
      </c>
      <c r="L20" s="153">
        <f t="shared" si="8"/>
        <v>3</v>
      </c>
    </row>
    <row r="21" spans="1:16" x14ac:dyDescent="0.3">
      <c r="A21" s="145">
        <v>12</v>
      </c>
      <c r="B21" s="151" t="s">
        <v>60</v>
      </c>
      <c r="C21" s="152">
        <f t="shared" si="0"/>
        <v>19</v>
      </c>
      <c r="D21" s="152">
        <f t="shared" si="1"/>
        <v>15</v>
      </c>
      <c r="E21" s="153">
        <f t="shared" si="2"/>
        <v>19</v>
      </c>
      <c r="H21" s="145">
        <v>16</v>
      </c>
      <c r="I21" s="151" t="s">
        <v>54</v>
      </c>
      <c r="J21" s="152">
        <f t="shared" si="6"/>
        <v>5</v>
      </c>
      <c r="K21" s="152">
        <f t="shared" si="7"/>
        <v>0</v>
      </c>
      <c r="L21" s="153">
        <f t="shared" si="8"/>
        <v>5</v>
      </c>
      <c r="P21" s="33" t="s">
        <v>55</v>
      </c>
    </row>
    <row r="22" spans="1:16" x14ac:dyDescent="0.3">
      <c r="A22" s="145">
        <v>7</v>
      </c>
      <c r="B22" s="151" t="s">
        <v>166</v>
      </c>
      <c r="C22" s="152">
        <f t="shared" si="0"/>
        <v>10</v>
      </c>
      <c r="D22" s="152">
        <f t="shared" si="1"/>
        <v>20</v>
      </c>
      <c r="E22" s="153">
        <f t="shared" si="2"/>
        <v>20</v>
      </c>
      <c r="H22" s="145">
        <v>12</v>
      </c>
      <c r="I22" s="151" t="s">
        <v>56</v>
      </c>
      <c r="J22" s="152">
        <f t="shared" si="6"/>
        <v>12</v>
      </c>
      <c r="K22" s="152">
        <f t="shared" si="7"/>
        <v>12</v>
      </c>
      <c r="L22" s="153">
        <f t="shared" si="8"/>
        <v>12</v>
      </c>
    </row>
    <row r="23" spans="1:16" x14ac:dyDescent="0.3">
      <c r="A23" s="145">
        <v>1</v>
      </c>
      <c r="B23" s="151" t="s">
        <v>157</v>
      </c>
      <c r="C23" s="152">
        <f t="shared" si="0"/>
        <v>30</v>
      </c>
      <c r="D23" s="152">
        <f t="shared" si="1"/>
        <v>12</v>
      </c>
      <c r="E23" s="153">
        <f t="shared" si="2"/>
        <v>30</v>
      </c>
      <c r="H23" s="145">
        <v>2</v>
      </c>
      <c r="I23" s="151" t="s">
        <v>158</v>
      </c>
      <c r="J23" s="152">
        <f t="shared" si="6"/>
        <v>24</v>
      </c>
      <c r="K23" s="152">
        <f t="shared" si="7"/>
        <v>0</v>
      </c>
      <c r="L23" s="153">
        <f t="shared" si="8"/>
        <v>24</v>
      </c>
    </row>
    <row r="24" spans="1:16" x14ac:dyDescent="0.3">
      <c r="A24" s="145">
        <v>10</v>
      </c>
      <c r="B24" s="151" t="s">
        <v>59</v>
      </c>
      <c r="C24" s="152">
        <f t="shared" si="0"/>
        <v>39</v>
      </c>
      <c r="D24" s="152">
        <f t="shared" si="1"/>
        <v>6</v>
      </c>
      <c r="E24" s="153">
        <f t="shared" si="2"/>
        <v>39</v>
      </c>
      <c r="H24" s="145">
        <v>9</v>
      </c>
      <c r="I24" s="151" t="s">
        <v>58</v>
      </c>
      <c r="J24" s="152">
        <f t="shared" si="6"/>
        <v>32</v>
      </c>
      <c r="K24" s="152">
        <f t="shared" si="7"/>
        <v>32</v>
      </c>
      <c r="L24" s="153">
        <f t="shared" si="8"/>
        <v>32</v>
      </c>
    </row>
    <row r="25" spans="1:16" x14ac:dyDescent="0.3">
      <c r="A25" s="145">
        <v>16</v>
      </c>
      <c r="B25" s="151" t="s">
        <v>57</v>
      </c>
      <c r="C25" s="152">
        <f t="shared" si="0"/>
        <v>46</v>
      </c>
      <c r="D25" s="152">
        <f t="shared" si="1"/>
        <v>46</v>
      </c>
      <c r="E25" s="153">
        <f t="shared" si="2"/>
        <v>46</v>
      </c>
      <c r="H25" s="145">
        <v>10</v>
      </c>
      <c r="I25" s="151" t="s">
        <v>164</v>
      </c>
      <c r="J25" s="152">
        <f t="shared" si="6"/>
        <v>34</v>
      </c>
      <c r="K25" s="152">
        <f t="shared" si="7"/>
        <v>0</v>
      </c>
      <c r="L25" s="153">
        <f t="shared" si="8"/>
        <v>34</v>
      </c>
    </row>
    <row r="26" spans="1:16" x14ac:dyDescent="0.3">
      <c r="A26" s="145">
        <v>6</v>
      </c>
      <c r="B26" s="151" t="s">
        <v>165</v>
      </c>
      <c r="C26" s="152">
        <f t="shared" si="0"/>
        <v>4</v>
      </c>
      <c r="D26" s="152">
        <f t="shared" si="1"/>
        <v>52</v>
      </c>
      <c r="E26" s="153">
        <f t="shared" si="2"/>
        <v>52</v>
      </c>
      <c r="H26" s="146">
        <v>13</v>
      </c>
      <c r="I26" s="154" t="s">
        <v>61</v>
      </c>
      <c r="J26" s="152">
        <f t="shared" si="6"/>
        <v>34</v>
      </c>
      <c r="K26" s="152">
        <f t="shared" si="7"/>
        <v>0</v>
      </c>
      <c r="L26" s="153">
        <f t="shared" si="8"/>
        <v>34</v>
      </c>
    </row>
    <row r="27" spans="1:16" x14ac:dyDescent="0.3">
      <c r="A27" s="146">
        <v>11</v>
      </c>
      <c r="B27" s="154" t="s">
        <v>164</v>
      </c>
      <c r="C27" s="155">
        <f t="shared" si="0"/>
        <v>70</v>
      </c>
      <c r="D27" s="155">
        <f t="shared" si="1"/>
        <v>0</v>
      </c>
      <c r="E27" s="156">
        <f t="shared" si="2"/>
        <v>70</v>
      </c>
    </row>
    <row r="31" spans="1:16" s="102" customFormat="1" ht="18" x14ac:dyDescent="0.35">
      <c r="B31" s="102" t="s">
        <v>107</v>
      </c>
    </row>
    <row r="32" spans="1:16" s="103" customFormat="1" ht="43.5" customHeight="1" x14ac:dyDescent="0.4">
      <c r="B32" s="104" t="s">
        <v>156</v>
      </c>
    </row>
    <row r="33" spans="1:13" x14ac:dyDescent="0.3">
      <c r="B33" s="45"/>
      <c r="C33" s="231"/>
      <c r="D33" s="45"/>
      <c r="E33" s="45"/>
      <c r="F33" s="45"/>
      <c r="G33" s="45"/>
      <c r="H33" s="45"/>
      <c r="I33" s="45"/>
      <c r="J33" s="45"/>
      <c r="K33" s="45"/>
      <c r="L33" s="45"/>
      <c r="M33" s="45"/>
    </row>
    <row r="34" spans="1:13" ht="15" customHeight="1" x14ac:dyDescent="0.3">
      <c r="A34" s="41"/>
      <c r="B34" s="136" t="s">
        <v>72</v>
      </c>
      <c r="C34" s="41"/>
      <c r="D34" s="41"/>
      <c r="E34" s="41"/>
      <c r="F34" s="136"/>
      <c r="G34" s="136"/>
      <c r="H34" s="45"/>
      <c r="I34" s="136" t="s">
        <v>70</v>
      </c>
      <c r="J34" s="138"/>
      <c r="K34" s="139"/>
      <c r="L34" s="139"/>
      <c r="M34" s="139"/>
    </row>
    <row r="35" spans="1:13" x14ac:dyDescent="0.3">
      <c r="A35" s="144"/>
      <c r="B35" s="140"/>
      <c r="C35" s="140" t="s">
        <v>93</v>
      </c>
      <c r="D35" s="140" t="s">
        <v>94</v>
      </c>
      <c r="E35" s="140" t="s">
        <v>36</v>
      </c>
      <c r="F35" s="141" t="s">
        <v>185</v>
      </c>
      <c r="G35" s="136"/>
      <c r="H35" s="144"/>
      <c r="I35" s="140"/>
      <c r="J35" s="140" t="s">
        <v>93</v>
      </c>
      <c r="K35" s="140" t="s">
        <v>94</v>
      </c>
      <c r="L35" s="140" t="s">
        <v>36</v>
      </c>
      <c r="M35" s="141" t="s">
        <v>185</v>
      </c>
    </row>
    <row r="36" spans="1:13" x14ac:dyDescent="0.3">
      <c r="A36" s="145">
        <v>9</v>
      </c>
      <c r="B36" s="151" t="s">
        <v>58</v>
      </c>
      <c r="C36" s="152" t="e">
        <f t="shared" ref="C36:C53" si="9">IF(INDEX(Q2_Paeds,4+$A36,10)="No data",NA(),INDEX(Q2_Paeds,4+$A36,10))</f>
        <v>#N/A</v>
      </c>
      <c r="D36" s="152" t="e">
        <f t="shared" ref="D36:D53" si="10">IF(INDEX(Q2_Paeds,4+$A36,11)="No data",NA(),INDEX(Q2_Paeds,4+$A36,11))</f>
        <v>#N/A</v>
      </c>
      <c r="E36" s="152" t="e">
        <f t="shared" ref="E36:E53" si="11">IF(INDEX(Q2_Paeds,4+$A36,12)="No data",NA(),INDEX(Q2_Paeds,4+$A36,12))</f>
        <v>#N/A</v>
      </c>
      <c r="F36" s="142" t="e">
        <f t="shared" ref="F36:F53" si="12">SUM(C36:E36)</f>
        <v>#N/A</v>
      </c>
      <c r="G36" s="137"/>
      <c r="H36" s="145">
        <v>6</v>
      </c>
      <c r="I36" s="151" t="s">
        <v>165</v>
      </c>
      <c r="J36" s="152" t="e">
        <f t="shared" ref="J36:J52" si="13">IF(INDEX(Q2_Adult,4+$H36,10)="No data",NA(),INDEX(Q2_Adult,4+$H36,10))</f>
        <v>#N/A</v>
      </c>
      <c r="K36" s="152" t="e">
        <f t="shared" ref="K36:K52" si="14">IF(INDEX(Q2_Adult,4+$H36,11)="No data",NA(),INDEX(Q2_Adult,4+$H36,11))</f>
        <v>#N/A</v>
      </c>
      <c r="L36" s="152" t="e">
        <f t="shared" ref="L36:L52" si="15">IF(INDEX(Q2_Adult,4+$H36,12)="No data",NA(),INDEX(Q2_Adult,4+$H36,12))</f>
        <v>#N/A</v>
      </c>
      <c r="M36" s="142" t="e">
        <f t="shared" ref="M36:M52" si="16">SUM(J36:L36)</f>
        <v>#N/A</v>
      </c>
    </row>
    <row r="37" spans="1:13" x14ac:dyDescent="0.3">
      <c r="A37" s="145">
        <v>13</v>
      </c>
      <c r="B37" s="151" t="s">
        <v>56</v>
      </c>
      <c r="C37" s="152" t="e">
        <f t="shared" si="9"/>
        <v>#N/A</v>
      </c>
      <c r="D37" s="152" t="e">
        <f t="shared" si="10"/>
        <v>#N/A</v>
      </c>
      <c r="E37" s="152" t="e">
        <f t="shared" si="11"/>
        <v>#N/A</v>
      </c>
      <c r="F37" s="142" t="e">
        <f t="shared" si="12"/>
        <v>#N/A</v>
      </c>
      <c r="G37" s="137"/>
      <c r="H37" s="145">
        <v>11</v>
      </c>
      <c r="I37" s="151" t="s">
        <v>60</v>
      </c>
      <c r="J37" s="152" t="e">
        <f t="shared" si="13"/>
        <v>#N/A</v>
      </c>
      <c r="K37" s="152" t="e">
        <f t="shared" si="14"/>
        <v>#N/A</v>
      </c>
      <c r="L37" s="152" t="e">
        <f t="shared" si="15"/>
        <v>#N/A</v>
      </c>
      <c r="M37" s="142" t="e">
        <f t="shared" si="16"/>
        <v>#N/A</v>
      </c>
    </row>
    <row r="38" spans="1:13" x14ac:dyDescent="0.3">
      <c r="A38" s="145">
        <v>14</v>
      </c>
      <c r="B38" s="151" t="s">
        <v>61</v>
      </c>
      <c r="C38" s="152" t="e">
        <f t="shared" si="9"/>
        <v>#N/A</v>
      </c>
      <c r="D38" s="152" t="e">
        <f t="shared" si="10"/>
        <v>#N/A</v>
      </c>
      <c r="E38" s="152" t="e">
        <f t="shared" si="11"/>
        <v>#N/A</v>
      </c>
      <c r="F38" s="142" t="e">
        <f t="shared" si="12"/>
        <v>#N/A</v>
      </c>
      <c r="G38" s="137"/>
      <c r="H38" s="145">
        <v>14</v>
      </c>
      <c r="I38" s="151" t="s">
        <v>52</v>
      </c>
      <c r="J38" s="152" t="e">
        <f t="shared" si="13"/>
        <v>#N/A</v>
      </c>
      <c r="K38" s="152" t="e">
        <f t="shared" si="14"/>
        <v>#N/A</v>
      </c>
      <c r="L38" s="152" t="e">
        <f t="shared" si="15"/>
        <v>#N/A</v>
      </c>
      <c r="M38" s="142" t="e">
        <f t="shared" si="16"/>
        <v>#N/A</v>
      </c>
    </row>
    <row r="39" spans="1:13" x14ac:dyDescent="0.3">
      <c r="A39" s="145">
        <v>3</v>
      </c>
      <c r="B39" s="151" t="s">
        <v>159</v>
      </c>
      <c r="C39" s="152">
        <f t="shared" si="9"/>
        <v>0</v>
      </c>
      <c r="D39" s="152">
        <f t="shared" si="10"/>
        <v>0</v>
      </c>
      <c r="E39" s="152">
        <f t="shared" si="11"/>
        <v>0</v>
      </c>
      <c r="F39" s="142">
        <f t="shared" si="12"/>
        <v>0</v>
      </c>
      <c r="G39" s="137"/>
      <c r="H39" s="145">
        <v>17</v>
      </c>
      <c r="I39" s="151" t="s">
        <v>62</v>
      </c>
      <c r="J39" s="152" t="e">
        <f t="shared" si="13"/>
        <v>#N/A</v>
      </c>
      <c r="K39" s="152" t="e">
        <f t="shared" si="14"/>
        <v>#N/A</v>
      </c>
      <c r="L39" s="152" t="e">
        <f t="shared" si="15"/>
        <v>#N/A</v>
      </c>
      <c r="M39" s="142" t="e">
        <f t="shared" si="16"/>
        <v>#N/A</v>
      </c>
    </row>
    <row r="40" spans="1:13" x14ac:dyDescent="0.3">
      <c r="A40" s="145">
        <v>4</v>
      </c>
      <c r="B40" s="151" t="s">
        <v>160</v>
      </c>
      <c r="C40" s="152">
        <f t="shared" si="9"/>
        <v>0</v>
      </c>
      <c r="D40" s="152">
        <f t="shared" si="10"/>
        <v>0</v>
      </c>
      <c r="E40" s="152">
        <f t="shared" si="11"/>
        <v>0</v>
      </c>
      <c r="F40" s="142">
        <f t="shared" si="12"/>
        <v>0</v>
      </c>
      <c r="G40" s="137"/>
      <c r="H40" s="145">
        <v>1</v>
      </c>
      <c r="I40" s="151" t="s">
        <v>157</v>
      </c>
      <c r="J40" s="152">
        <f t="shared" si="13"/>
        <v>0</v>
      </c>
      <c r="K40" s="152">
        <f t="shared" si="14"/>
        <v>0</v>
      </c>
      <c r="L40" s="152">
        <f t="shared" si="15"/>
        <v>0</v>
      </c>
      <c r="M40" s="142">
        <f t="shared" si="16"/>
        <v>0</v>
      </c>
    </row>
    <row r="41" spans="1:13" x14ac:dyDescent="0.3">
      <c r="A41" s="145">
        <v>6</v>
      </c>
      <c r="B41" s="151" t="s">
        <v>165</v>
      </c>
      <c r="C41" s="152">
        <f t="shared" si="9"/>
        <v>0</v>
      </c>
      <c r="D41" s="152">
        <f t="shared" si="10"/>
        <v>0</v>
      </c>
      <c r="E41" s="152">
        <f t="shared" si="11"/>
        <v>0</v>
      </c>
      <c r="F41" s="142">
        <f t="shared" si="12"/>
        <v>0</v>
      </c>
      <c r="G41" s="137"/>
      <c r="H41" s="145">
        <v>3</v>
      </c>
      <c r="I41" s="151" t="s">
        <v>159</v>
      </c>
      <c r="J41" s="152">
        <f t="shared" si="13"/>
        <v>0</v>
      </c>
      <c r="K41" s="152">
        <f t="shared" si="14"/>
        <v>0</v>
      </c>
      <c r="L41" s="152">
        <f t="shared" si="15"/>
        <v>0</v>
      </c>
      <c r="M41" s="142">
        <f t="shared" si="16"/>
        <v>0</v>
      </c>
    </row>
    <row r="42" spans="1:13" x14ac:dyDescent="0.3">
      <c r="A42" s="145">
        <v>15</v>
      </c>
      <c r="B42" s="151" t="s">
        <v>52</v>
      </c>
      <c r="C42" s="152">
        <f t="shared" si="9"/>
        <v>0</v>
      </c>
      <c r="D42" s="152">
        <f t="shared" si="10"/>
        <v>0</v>
      </c>
      <c r="E42" s="152">
        <f t="shared" si="11"/>
        <v>0</v>
      </c>
      <c r="F42" s="142">
        <f t="shared" si="12"/>
        <v>0</v>
      </c>
      <c r="G42" s="137"/>
      <c r="H42" s="145">
        <v>4</v>
      </c>
      <c r="I42" s="151" t="s">
        <v>160</v>
      </c>
      <c r="J42" s="152">
        <f t="shared" si="13"/>
        <v>0</v>
      </c>
      <c r="K42" s="152">
        <f t="shared" si="14"/>
        <v>0</v>
      </c>
      <c r="L42" s="152">
        <f t="shared" si="15"/>
        <v>0</v>
      </c>
      <c r="M42" s="142">
        <f t="shared" si="16"/>
        <v>0</v>
      </c>
    </row>
    <row r="43" spans="1:13" x14ac:dyDescent="0.3">
      <c r="A43" s="145">
        <v>18</v>
      </c>
      <c r="B43" s="151" t="s">
        <v>62</v>
      </c>
      <c r="C43" s="152">
        <f t="shared" si="9"/>
        <v>0</v>
      </c>
      <c r="D43" s="152">
        <f t="shared" si="10"/>
        <v>0</v>
      </c>
      <c r="E43" s="152">
        <f t="shared" si="11"/>
        <v>0</v>
      </c>
      <c r="F43" s="142">
        <f t="shared" si="12"/>
        <v>0</v>
      </c>
      <c r="G43" s="137"/>
      <c r="H43" s="145">
        <v>5</v>
      </c>
      <c r="I43" s="151" t="s">
        <v>161</v>
      </c>
      <c r="J43" s="152">
        <f t="shared" si="13"/>
        <v>0</v>
      </c>
      <c r="K43" s="152">
        <f t="shared" si="14"/>
        <v>0</v>
      </c>
      <c r="L43" s="152">
        <f t="shared" si="15"/>
        <v>0</v>
      </c>
      <c r="M43" s="142">
        <f t="shared" si="16"/>
        <v>0</v>
      </c>
    </row>
    <row r="44" spans="1:13" x14ac:dyDescent="0.3">
      <c r="A44" s="145">
        <v>7</v>
      </c>
      <c r="B44" s="151" t="s">
        <v>166</v>
      </c>
      <c r="C44" s="152">
        <f t="shared" si="9"/>
        <v>1</v>
      </c>
      <c r="D44" s="152">
        <f t="shared" si="10"/>
        <v>0</v>
      </c>
      <c r="E44" s="152">
        <f t="shared" si="11"/>
        <v>0</v>
      </c>
      <c r="F44" s="142">
        <f t="shared" si="12"/>
        <v>1</v>
      </c>
      <c r="G44" s="137"/>
      <c r="H44" s="145">
        <v>15</v>
      </c>
      <c r="I44" s="151" t="s">
        <v>57</v>
      </c>
      <c r="J44" s="152">
        <f t="shared" si="13"/>
        <v>0</v>
      </c>
      <c r="K44" s="152">
        <f t="shared" si="14"/>
        <v>0</v>
      </c>
      <c r="L44" s="152">
        <f t="shared" si="15"/>
        <v>0</v>
      </c>
      <c r="M44" s="142">
        <f t="shared" si="16"/>
        <v>0</v>
      </c>
    </row>
    <row r="45" spans="1:13" x14ac:dyDescent="0.3">
      <c r="A45" s="145">
        <v>10</v>
      </c>
      <c r="B45" s="151" t="s">
        <v>59</v>
      </c>
      <c r="C45" s="152">
        <f t="shared" si="9"/>
        <v>0</v>
      </c>
      <c r="D45" s="152">
        <f t="shared" si="10"/>
        <v>1</v>
      </c>
      <c r="E45" s="152">
        <f t="shared" si="11"/>
        <v>0</v>
      </c>
      <c r="F45" s="142">
        <f t="shared" si="12"/>
        <v>1</v>
      </c>
      <c r="G45" s="137"/>
      <c r="H45" s="145">
        <v>16</v>
      </c>
      <c r="I45" s="151" t="s">
        <v>54</v>
      </c>
      <c r="J45" s="152">
        <f t="shared" si="13"/>
        <v>0</v>
      </c>
      <c r="K45" s="152">
        <f t="shared" si="14"/>
        <v>0</v>
      </c>
      <c r="L45" s="152">
        <f t="shared" si="15"/>
        <v>0</v>
      </c>
      <c r="M45" s="142">
        <f t="shared" si="16"/>
        <v>0</v>
      </c>
    </row>
    <row r="46" spans="1:13" x14ac:dyDescent="0.3">
      <c r="A46" s="145">
        <v>5</v>
      </c>
      <c r="B46" s="151" t="s">
        <v>161</v>
      </c>
      <c r="C46" s="152">
        <f t="shared" si="9"/>
        <v>1</v>
      </c>
      <c r="D46" s="152">
        <f t="shared" si="10"/>
        <v>8</v>
      </c>
      <c r="E46" s="152">
        <f t="shared" si="11"/>
        <v>0</v>
      </c>
      <c r="F46" s="142">
        <f t="shared" si="12"/>
        <v>9</v>
      </c>
      <c r="G46" s="137"/>
      <c r="H46" s="145">
        <v>7</v>
      </c>
      <c r="I46" s="151" t="s">
        <v>166</v>
      </c>
      <c r="J46" s="152">
        <f t="shared" si="13"/>
        <v>2</v>
      </c>
      <c r="K46" s="152">
        <f t="shared" si="14"/>
        <v>0</v>
      </c>
      <c r="L46" s="152">
        <f t="shared" si="15"/>
        <v>3</v>
      </c>
      <c r="M46" s="142">
        <f t="shared" si="16"/>
        <v>5</v>
      </c>
    </row>
    <row r="47" spans="1:13" x14ac:dyDescent="0.3">
      <c r="A47" s="145">
        <v>8</v>
      </c>
      <c r="B47" s="151" t="s">
        <v>162</v>
      </c>
      <c r="C47" s="152">
        <f t="shared" si="9"/>
        <v>10</v>
      </c>
      <c r="D47" s="152">
        <f t="shared" si="10"/>
        <v>2</v>
      </c>
      <c r="E47" s="152">
        <f t="shared" si="11"/>
        <v>1</v>
      </c>
      <c r="F47" s="142">
        <f t="shared" si="12"/>
        <v>13</v>
      </c>
      <c r="G47" s="137"/>
      <c r="H47" s="145">
        <v>2</v>
      </c>
      <c r="I47" s="151" t="s">
        <v>158</v>
      </c>
      <c r="J47" s="152">
        <f t="shared" si="13"/>
        <v>3</v>
      </c>
      <c r="K47" s="152">
        <f t="shared" si="14"/>
        <v>37</v>
      </c>
      <c r="L47" s="152">
        <f t="shared" si="15"/>
        <v>20</v>
      </c>
      <c r="M47" s="142">
        <f t="shared" si="16"/>
        <v>60</v>
      </c>
    </row>
    <row r="48" spans="1:13" x14ac:dyDescent="0.3">
      <c r="A48" s="145">
        <v>16</v>
      </c>
      <c r="B48" s="151" t="s">
        <v>57</v>
      </c>
      <c r="C48" s="152">
        <f t="shared" si="9"/>
        <v>63</v>
      </c>
      <c r="D48" s="152">
        <f t="shared" si="10"/>
        <v>0</v>
      </c>
      <c r="E48" s="152">
        <f t="shared" si="11"/>
        <v>0</v>
      </c>
      <c r="F48" s="142">
        <f t="shared" si="12"/>
        <v>63</v>
      </c>
      <c r="G48" s="137"/>
      <c r="H48" s="145">
        <v>9</v>
      </c>
      <c r="I48" s="151" t="s">
        <v>58</v>
      </c>
      <c r="J48" s="152">
        <f t="shared" si="13"/>
        <v>18</v>
      </c>
      <c r="K48" s="152">
        <f t="shared" si="14"/>
        <v>38</v>
      </c>
      <c r="L48" s="152">
        <f t="shared" si="15"/>
        <v>8</v>
      </c>
      <c r="M48" s="142">
        <f t="shared" si="16"/>
        <v>64</v>
      </c>
    </row>
    <row r="49" spans="1:13" x14ac:dyDescent="0.3">
      <c r="A49" s="145">
        <v>17</v>
      </c>
      <c r="B49" s="151" t="s">
        <v>54</v>
      </c>
      <c r="C49" s="152">
        <f t="shared" si="9"/>
        <v>39</v>
      </c>
      <c r="D49" s="152">
        <f t="shared" si="10"/>
        <v>32</v>
      </c>
      <c r="E49" s="152">
        <f t="shared" si="11"/>
        <v>2</v>
      </c>
      <c r="F49" s="142">
        <f t="shared" si="12"/>
        <v>73</v>
      </c>
      <c r="G49" s="137"/>
      <c r="H49" s="145">
        <v>12</v>
      </c>
      <c r="I49" s="151" t="s">
        <v>56</v>
      </c>
      <c r="J49" s="152">
        <f t="shared" si="13"/>
        <v>8</v>
      </c>
      <c r="K49" s="152">
        <f t="shared" si="14"/>
        <v>21</v>
      </c>
      <c r="L49" s="152">
        <f t="shared" si="15"/>
        <v>41</v>
      </c>
      <c r="M49" s="142">
        <f t="shared" si="16"/>
        <v>70</v>
      </c>
    </row>
    <row r="50" spans="1:13" x14ac:dyDescent="0.3">
      <c r="A50" s="145">
        <v>12</v>
      </c>
      <c r="B50" s="151" t="s">
        <v>60</v>
      </c>
      <c r="C50" s="152">
        <f t="shared" si="9"/>
        <v>37</v>
      </c>
      <c r="D50" s="152">
        <f t="shared" si="10"/>
        <v>64</v>
      </c>
      <c r="E50" s="152">
        <f t="shared" si="11"/>
        <v>6</v>
      </c>
      <c r="F50" s="142">
        <f t="shared" si="12"/>
        <v>107</v>
      </c>
      <c r="G50" s="137"/>
      <c r="H50" s="145">
        <v>8</v>
      </c>
      <c r="I50" s="151" t="s">
        <v>162</v>
      </c>
      <c r="J50" s="152">
        <f t="shared" si="13"/>
        <v>23</v>
      </c>
      <c r="K50" s="152">
        <f t="shared" si="14"/>
        <v>29</v>
      </c>
      <c r="L50" s="152">
        <f t="shared" si="15"/>
        <v>55</v>
      </c>
      <c r="M50" s="142">
        <f t="shared" si="16"/>
        <v>107</v>
      </c>
    </row>
    <row r="51" spans="1:13" x14ac:dyDescent="0.3">
      <c r="A51" s="145">
        <v>1</v>
      </c>
      <c r="B51" s="151" t="s">
        <v>157</v>
      </c>
      <c r="C51" s="152">
        <f t="shared" si="9"/>
        <v>31</v>
      </c>
      <c r="D51" s="152">
        <f t="shared" si="10"/>
        <v>60</v>
      </c>
      <c r="E51" s="152">
        <f t="shared" si="11"/>
        <v>55</v>
      </c>
      <c r="F51" s="142">
        <f t="shared" si="12"/>
        <v>146</v>
      </c>
      <c r="G51" s="137"/>
      <c r="H51" s="145">
        <v>10</v>
      </c>
      <c r="I51" s="151" t="s">
        <v>164</v>
      </c>
      <c r="J51" s="152">
        <f t="shared" si="13"/>
        <v>334</v>
      </c>
      <c r="K51" s="152">
        <f t="shared" si="14"/>
        <v>115</v>
      </c>
      <c r="L51" s="152">
        <f t="shared" si="15"/>
        <v>15</v>
      </c>
      <c r="M51" s="142">
        <f t="shared" si="16"/>
        <v>464</v>
      </c>
    </row>
    <row r="52" spans="1:13" x14ac:dyDescent="0.3">
      <c r="A52" s="145">
        <v>2</v>
      </c>
      <c r="B52" s="151" t="s">
        <v>158</v>
      </c>
      <c r="C52" s="152">
        <f t="shared" si="9"/>
        <v>132</v>
      </c>
      <c r="D52" s="152">
        <f t="shared" si="10"/>
        <v>280</v>
      </c>
      <c r="E52" s="152">
        <f t="shared" si="11"/>
        <v>155</v>
      </c>
      <c r="F52" s="142">
        <f t="shared" si="12"/>
        <v>567</v>
      </c>
      <c r="G52" s="137"/>
      <c r="H52" s="146">
        <v>13</v>
      </c>
      <c r="I52" s="154" t="s">
        <v>61</v>
      </c>
      <c r="J52" s="152">
        <f t="shared" si="13"/>
        <v>133</v>
      </c>
      <c r="K52" s="152">
        <f t="shared" si="14"/>
        <v>187</v>
      </c>
      <c r="L52" s="152">
        <f t="shared" si="15"/>
        <v>153</v>
      </c>
      <c r="M52" s="142">
        <f t="shared" si="16"/>
        <v>473</v>
      </c>
    </row>
    <row r="53" spans="1:13" x14ac:dyDescent="0.3">
      <c r="A53" s="146">
        <v>11</v>
      </c>
      <c r="B53" s="154" t="s">
        <v>164</v>
      </c>
      <c r="C53" s="155">
        <f t="shared" si="9"/>
        <v>254</v>
      </c>
      <c r="D53" s="155">
        <f t="shared" si="10"/>
        <v>423</v>
      </c>
      <c r="E53" s="155">
        <f t="shared" si="11"/>
        <v>261</v>
      </c>
      <c r="F53" s="143">
        <f t="shared" si="12"/>
        <v>938</v>
      </c>
      <c r="G53" s="137"/>
    </row>
    <row r="54" spans="1:13" x14ac:dyDescent="0.3">
      <c r="A54" s="137"/>
    </row>
    <row r="55" spans="1:13" s="41" customFormat="1" x14ac:dyDescent="0.3">
      <c r="B55" s="75"/>
      <c r="C55" s="52"/>
      <c r="D55" s="52"/>
      <c r="E55" s="76"/>
      <c r="F55" s="52"/>
    </row>
    <row r="56" spans="1:13" x14ac:dyDescent="0.3">
      <c r="B56" s="237" t="s">
        <v>73</v>
      </c>
      <c r="H56" s="136" t="s">
        <v>71</v>
      </c>
      <c r="I56" s="231"/>
      <c r="J56" s="45"/>
      <c r="K56" s="45"/>
      <c r="L56" s="45"/>
    </row>
    <row r="57" spans="1:13" x14ac:dyDescent="0.3">
      <c r="A57" s="144"/>
      <c r="B57" s="238"/>
      <c r="C57" s="140" t="s">
        <v>93</v>
      </c>
      <c r="D57" s="140" t="s">
        <v>94</v>
      </c>
      <c r="E57" s="140" t="s">
        <v>36</v>
      </c>
      <c r="F57" s="141" t="s">
        <v>185</v>
      </c>
      <c r="G57" s="158"/>
      <c r="H57" s="144"/>
      <c r="I57" s="140"/>
      <c r="J57" s="140" t="s">
        <v>93</v>
      </c>
      <c r="K57" s="140" t="s">
        <v>94</v>
      </c>
      <c r="L57" s="140" t="s">
        <v>36</v>
      </c>
      <c r="M57" s="141" t="s">
        <v>185</v>
      </c>
    </row>
    <row r="58" spans="1:13" x14ac:dyDescent="0.3">
      <c r="A58" s="145">
        <v>9</v>
      </c>
      <c r="B58" s="151" t="s">
        <v>58</v>
      </c>
      <c r="C58" s="147" t="e">
        <f t="shared" ref="C58:C75" si="17">IF(INDEX(Q2_Paeds,4+$A58,16)="No data",NA(),INDEX(Q2_Paeds,4+$A58,16))</f>
        <v>#N/A</v>
      </c>
      <c r="D58" s="147" t="e">
        <f t="shared" ref="D58:D75" si="18">IF(INDEX(Q2_Paeds,4+$A58,17)="No data",NA(),INDEX(Q2_Paeds,4+$A58,17))</f>
        <v>#N/A</v>
      </c>
      <c r="E58" s="147" t="e">
        <f t="shared" ref="E58:E75" si="19">IF(INDEX(Q2_Paeds,4+$A58,18)="No data",NA(),INDEX(Q2_Paeds,4+$A58,18))</f>
        <v>#N/A</v>
      </c>
      <c r="F58" s="142" t="e">
        <f t="shared" ref="F58:F75" si="20">SUM(C58:E58)</f>
        <v>#N/A</v>
      </c>
      <c r="G58" s="159"/>
      <c r="H58" s="145">
        <v>6</v>
      </c>
      <c r="I58" s="151" t="s">
        <v>165</v>
      </c>
      <c r="J58" s="152" t="e">
        <f t="shared" ref="J58" si="21">IF(INDEX(Q2_Adult,4+$H58,16)="No data",NA(),INDEX(Q2_Adult,4+$H58,16))</f>
        <v>#N/A</v>
      </c>
      <c r="K58" s="152" t="e">
        <f t="shared" ref="K58" si="22">IF(INDEX(Q2_Adult,4+$H58,17)="No data",NA(),INDEX(Q2_Adult,4+$H58,17))</f>
        <v>#N/A</v>
      </c>
      <c r="L58" s="152" t="e">
        <f t="shared" ref="L58" si="23">IF(INDEX(Q2_Adult,4+$H58,18)="No data",NA(),INDEX(Q2_Adult,4+$H58,18))</f>
        <v>#N/A</v>
      </c>
      <c r="M58" s="142" t="e">
        <f t="shared" ref="M58" si="24">SUM(J58:L58)</f>
        <v>#N/A</v>
      </c>
    </row>
    <row r="59" spans="1:13" x14ac:dyDescent="0.3">
      <c r="A59" s="145">
        <v>13</v>
      </c>
      <c r="B59" s="151" t="s">
        <v>56</v>
      </c>
      <c r="C59" s="147" t="e">
        <f t="shared" si="17"/>
        <v>#N/A</v>
      </c>
      <c r="D59" s="147" t="e">
        <f t="shared" si="18"/>
        <v>#N/A</v>
      </c>
      <c r="E59" s="147" t="e">
        <f t="shared" si="19"/>
        <v>#N/A</v>
      </c>
      <c r="F59" s="142" t="e">
        <f t="shared" si="20"/>
        <v>#N/A</v>
      </c>
      <c r="G59" s="159"/>
      <c r="H59" s="145">
        <v>11</v>
      </c>
      <c r="I59" s="151" t="s">
        <v>60</v>
      </c>
      <c r="J59" s="152" t="e">
        <f t="shared" ref="J59:J74" si="25">IF(INDEX(Q2_Adult,4+$H59,16)="No data",NA(),INDEX(Q2_Adult,4+$H59,16))</f>
        <v>#N/A</v>
      </c>
      <c r="K59" s="152" t="e">
        <f t="shared" ref="K59:K74" si="26">IF(INDEX(Q2_Adult,4+$H59,17)="No data",NA(),INDEX(Q2_Adult,4+$H59,17))</f>
        <v>#N/A</v>
      </c>
      <c r="L59" s="152" t="e">
        <f t="shared" ref="L59:L74" si="27">IF(INDEX(Q2_Adult,4+$H59,18)="No data",NA(),INDEX(Q2_Adult,4+$H59,18))</f>
        <v>#N/A</v>
      </c>
      <c r="M59" s="142" t="e">
        <f t="shared" ref="M59:M74" si="28">SUM(J59:L59)</f>
        <v>#N/A</v>
      </c>
    </row>
    <row r="60" spans="1:13" x14ac:dyDescent="0.3">
      <c r="A60" s="145">
        <v>14</v>
      </c>
      <c r="B60" s="151" t="s">
        <v>61</v>
      </c>
      <c r="C60" s="147" t="e">
        <f t="shared" si="17"/>
        <v>#N/A</v>
      </c>
      <c r="D60" s="147" t="e">
        <f t="shared" si="18"/>
        <v>#N/A</v>
      </c>
      <c r="E60" s="147" t="e">
        <f t="shared" si="19"/>
        <v>#N/A</v>
      </c>
      <c r="F60" s="142" t="e">
        <f t="shared" si="20"/>
        <v>#N/A</v>
      </c>
      <c r="G60" s="159"/>
      <c r="H60" s="145">
        <v>14</v>
      </c>
      <c r="I60" s="151" t="s">
        <v>52</v>
      </c>
      <c r="J60" s="152" t="e">
        <f t="shared" si="25"/>
        <v>#N/A</v>
      </c>
      <c r="K60" s="152" t="e">
        <f t="shared" si="26"/>
        <v>#N/A</v>
      </c>
      <c r="L60" s="152" t="e">
        <f t="shared" si="27"/>
        <v>#N/A</v>
      </c>
      <c r="M60" s="142" t="e">
        <f t="shared" si="28"/>
        <v>#N/A</v>
      </c>
    </row>
    <row r="61" spans="1:13" x14ac:dyDescent="0.3">
      <c r="A61" s="145">
        <v>2</v>
      </c>
      <c r="B61" s="151" t="s">
        <v>158</v>
      </c>
      <c r="C61" s="147">
        <f t="shared" si="17"/>
        <v>0</v>
      </c>
      <c r="D61" s="147">
        <f t="shared" si="18"/>
        <v>0</v>
      </c>
      <c r="E61" s="147">
        <f t="shared" si="19"/>
        <v>0</v>
      </c>
      <c r="F61" s="142">
        <f t="shared" si="20"/>
        <v>0</v>
      </c>
      <c r="G61" s="159"/>
      <c r="H61" s="145">
        <v>17</v>
      </c>
      <c r="I61" s="151" t="s">
        <v>62</v>
      </c>
      <c r="J61" s="152" t="e">
        <f t="shared" si="25"/>
        <v>#N/A</v>
      </c>
      <c r="K61" s="152" t="e">
        <f t="shared" si="26"/>
        <v>#N/A</v>
      </c>
      <c r="L61" s="152" t="e">
        <f t="shared" si="27"/>
        <v>#N/A</v>
      </c>
      <c r="M61" s="142" t="e">
        <f t="shared" si="28"/>
        <v>#N/A</v>
      </c>
    </row>
    <row r="62" spans="1:13" x14ac:dyDescent="0.3">
      <c r="A62" s="145">
        <v>10</v>
      </c>
      <c r="B62" s="151" t="s">
        <v>59</v>
      </c>
      <c r="C62" s="147">
        <f t="shared" si="17"/>
        <v>0</v>
      </c>
      <c r="D62" s="147">
        <f t="shared" si="18"/>
        <v>0</v>
      </c>
      <c r="E62" s="147">
        <f t="shared" si="19"/>
        <v>0</v>
      </c>
      <c r="F62" s="142">
        <f t="shared" si="20"/>
        <v>0</v>
      </c>
      <c r="G62" s="159"/>
      <c r="H62" s="145">
        <v>10</v>
      </c>
      <c r="I62" s="151" t="s">
        <v>164</v>
      </c>
      <c r="J62" s="152">
        <f t="shared" si="25"/>
        <v>0</v>
      </c>
      <c r="K62" s="152">
        <f t="shared" si="26"/>
        <v>0</v>
      </c>
      <c r="L62" s="152">
        <f t="shared" si="27"/>
        <v>0</v>
      </c>
      <c r="M62" s="142">
        <f t="shared" si="28"/>
        <v>0</v>
      </c>
    </row>
    <row r="63" spans="1:13" x14ac:dyDescent="0.3">
      <c r="A63" s="145">
        <v>11</v>
      </c>
      <c r="B63" s="151" t="s">
        <v>164</v>
      </c>
      <c r="C63" s="147">
        <f t="shared" si="17"/>
        <v>0</v>
      </c>
      <c r="D63" s="147">
        <f t="shared" si="18"/>
        <v>0</v>
      </c>
      <c r="E63" s="147">
        <f t="shared" si="19"/>
        <v>0</v>
      </c>
      <c r="F63" s="142">
        <f t="shared" si="20"/>
        <v>0</v>
      </c>
      <c r="G63" s="159"/>
      <c r="H63" s="145">
        <v>2</v>
      </c>
      <c r="I63" s="151" t="s">
        <v>158</v>
      </c>
      <c r="J63" s="152">
        <f t="shared" si="25"/>
        <v>0</v>
      </c>
      <c r="K63" s="152">
        <f t="shared" si="26"/>
        <v>0</v>
      </c>
      <c r="L63" s="152">
        <f t="shared" si="27"/>
        <v>0</v>
      </c>
      <c r="M63" s="142">
        <f t="shared" si="28"/>
        <v>0</v>
      </c>
    </row>
    <row r="64" spans="1:13" x14ac:dyDescent="0.3">
      <c r="A64" s="145">
        <v>5</v>
      </c>
      <c r="B64" s="151" t="s">
        <v>161</v>
      </c>
      <c r="C64" s="147">
        <f t="shared" si="17"/>
        <v>1</v>
      </c>
      <c r="D64" s="147">
        <f t="shared" si="18"/>
        <v>5</v>
      </c>
      <c r="E64" s="147">
        <f t="shared" si="19"/>
        <v>1</v>
      </c>
      <c r="F64" s="142">
        <f t="shared" si="20"/>
        <v>7</v>
      </c>
      <c r="G64" s="159"/>
      <c r="H64" s="145">
        <v>4</v>
      </c>
      <c r="I64" s="151" t="s">
        <v>160</v>
      </c>
      <c r="J64" s="152">
        <f t="shared" si="25"/>
        <v>0</v>
      </c>
      <c r="K64" s="152">
        <f t="shared" si="26"/>
        <v>0</v>
      </c>
      <c r="L64" s="152">
        <f t="shared" si="27"/>
        <v>0</v>
      </c>
      <c r="M64" s="142">
        <f t="shared" si="28"/>
        <v>0</v>
      </c>
    </row>
    <row r="65" spans="1:15" x14ac:dyDescent="0.3">
      <c r="A65" s="145">
        <v>4</v>
      </c>
      <c r="B65" s="151" t="s">
        <v>160</v>
      </c>
      <c r="C65" s="147">
        <f t="shared" si="17"/>
        <v>1</v>
      </c>
      <c r="D65" s="147">
        <f t="shared" si="18"/>
        <v>3</v>
      </c>
      <c r="E65" s="147">
        <f t="shared" si="19"/>
        <v>6</v>
      </c>
      <c r="F65" s="142">
        <f t="shared" si="20"/>
        <v>10</v>
      </c>
      <c r="G65" s="159"/>
      <c r="H65" s="145">
        <v>5</v>
      </c>
      <c r="I65" s="151" t="s">
        <v>161</v>
      </c>
      <c r="J65" s="152">
        <f t="shared" si="25"/>
        <v>0</v>
      </c>
      <c r="K65" s="152">
        <f t="shared" si="26"/>
        <v>0</v>
      </c>
      <c r="L65" s="152">
        <f t="shared" si="27"/>
        <v>0</v>
      </c>
      <c r="M65" s="142">
        <f t="shared" si="28"/>
        <v>0</v>
      </c>
    </row>
    <row r="66" spans="1:15" x14ac:dyDescent="0.3">
      <c r="A66" s="145">
        <v>18</v>
      </c>
      <c r="B66" s="151" t="s">
        <v>62</v>
      </c>
      <c r="C66" s="147">
        <f t="shared" si="17"/>
        <v>6</v>
      </c>
      <c r="D66" s="147">
        <f t="shared" si="18"/>
        <v>5</v>
      </c>
      <c r="E66" s="147">
        <f t="shared" si="19"/>
        <v>0</v>
      </c>
      <c r="F66" s="142">
        <f t="shared" si="20"/>
        <v>11</v>
      </c>
      <c r="G66" s="159"/>
      <c r="H66" s="145">
        <v>7</v>
      </c>
      <c r="I66" s="151" t="s">
        <v>166</v>
      </c>
      <c r="J66" s="152">
        <f t="shared" si="25"/>
        <v>0</v>
      </c>
      <c r="K66" s="152">
        <f t="shared" si="26"/>
        <v>0</v>
      </c>
      <c r="L66" s="152">
        <f t="shared" si="27"/>
        <v>0</v>
      </c>
      <c r="M66" s="142">
        <f t="shared" si="28"/>
        <v>0</v>
      </c>
    </row>
    <row r="67" spans="1:15" x14ac:dyDescent="0.3">
      <c r="A67" s="145">
        <v>7</v>
      </c>
      <c r="B67" s="151" t="s">
        <v>166</v>
      </c>
      <c r="C67" s="147">
        <f t="shared" si="17"/>
        <v>18</v>
      </c>
      <c r="D67" s="147">
        <f t="shared" si="18"/>
        <v>6</v>
      </c>
      <c r="E67" s="147">
        <f t="shared" si="19"/>
        <v>0</v>
      </c>
      <c r="F67" s="142">
        <f t="shared" si="20"/>
        <v>24</v>
      </c>
      <c r="G67" s="159"/>
      <c r="H67" s="145">
        <v>8</v>
      </c>
      <c r="I67" s="151" t="s">
        <v>162</v>
      </c>
      <c r="J67" s="152">
        <f t="shared" si="25"/>
        <v>0</v>
      </c>
      <c r="K67" s="152">
        <f t="shared" si="26"/>
        <v>0</v>
      </c>
      <c r="L67" s="152">
        <f t="shared" si="27"/>
        <v>0</v>
      </c>
      <c r="M67" s="142">
        <f t="shared" si="28"/>
        <v>0</v>
      </c>
    </row>
    <row r="68" spans="1:15" x14ac:dyDescent="0.3">
      <c r="A68" s="145">
        <v>15</v>
      </c>
      <c r="B68" s="151" t="s">
        <v>52</v>
      </c>
      <c r="C68" s="147">
        <f t="shared" si="17"/>
        <v>36</v>
      </c>
      <c r="D68" s="147">
        <f t="shared" si="18"/>
        <v>0</v>
      </c>
      <c r="E68" s="147">
        <f t="shared" si="19"/>
        <v>0</v>
      </c>
      <c r="F68" s="142">
        <f t="shared" si="20"/>
        <v>36</v>
      </c>
      <c r="G68" s="159"/>
      <c r="H68" s="145">
        <v>13</v>
      </c>
      <c r="I68" s="151" t="s">
        <v>61</v>
      </c>
      <c r="J68" s="152">
        <f t="shared" si="25"/>
        <v>0</v>
      </c>
      <c r="K68" s="152">
        <f t="shared" si="26"/>
        <v>0</v>
      </c>
      <c r="L68" s="152">
        <f t="shared" si="27"/>
        <v>0</v>
      </c>
      <c r="M68" s="142">
        <f t="shared" si="28"/>
        <v>0</v>
      </c>
    </row>
    <row r="69" spans="1:15" x14ac:dyDescent="0.3">
      <c r="A69" s="145">
        <v>6</v>
      </c>
      <c r="B69" s="151" t="s">
        <v>165</v>
      </c>
      <c r="C69" s="147">
        <f t="shared" si="17"/>
        <v>13</v>
      </c>
      <c r="D69" s="147">
        <f t="shared" si="18"/>
        <v>30</v>
      </c>
      <c r="E69" s="147">
        <f t="shared" si="19"/>
        <v>0</v>
      </c>
      <c r="F69" s="142">
        <f t="shared" si="20"/>
        <v>43</v>
      </c>
      <c r="G69" s="159"/>
      <c r="H69" s="145">
        <v>15</v>
      </c>
      <c r="I69" s="151" t="s">
        <v>57</v>
      </c>
      <c r="J69" s="152">
        <f t="shared" si="25"/>
        <v>7</v>
      </c>
      <c r="K69" s="152">
        <f t="shared" si="26"/>
        <v>0</v>
      </c>
      <c r="L69" s="152">
        <f t="shared" si="27"/>
        <v>0</v>
      </c>
      <c r="M69" s="142">
        <f t="shared" si="28"/>
        <v>7</v>
      </c>
    </row>
    <row r="70" spans="1:15" x14ac:dyDescent="0.3">
      <c r="A70" s="145">
        <v>16</v>
      </c>
      <c r="B70" s="151" t="s">
        <v>57</v>
      </c>
      <c r="C70" s="147">
        <f t="shared" si="17"/>
        <v>42</v>
      </c>
      <c r="D70" s="147">
        <f t="shared" si="18"/>
        <v>3</v>
      </c>
      <c r="E70" s="147">
        <f t="shared" si="19"/>
        <v>0</v>
      </c>
      <c r="F70" s="142">
        <f t="shared" si="20"/>
        <v>45</v>
      </c>
      <c r="G70" s="159"/>
      <c r="H70" s="145">
        <v>16</v>
      </c>
      <c r="I70" s="151" t="s">
        <v>54</v>
      </c>
      <c r="J70" s="152">
        <f t="shared" si="25"/>
        <v>8</v>
      </c>
      <c r="K70" s="152">
        <f t="shared" si="26"/>
        <v>2</v>
      </c>
      <c r="L70" s="152">
        <f t="shared" si="27"/>
        <v>1</v>
      </c>
      <c r="M70" s="142">
        <f t="shared" si="28"/>
        <v>11</v>
      </c>
    </row>
    <row r="71" spans="1:15" x14ac:dyDescent="0.3">
      <c r="A71" s="145">
        <v>8</v>
      </c>
      <c r="B71" s="151" t="s">
        <v>162</v>
      </c>
      <c r="C71" s="147">
        <f t="shared" si="17"/>
        <v>39</v>
      </c>
      <c r="D71" s="147">
        <f t="shared" si="18"/>
        <v>48</v>
      </c>
      <c r="E71" s="147">
        <f t="shared" si="19"/>
        <v>0</v>
      </c>
      <c r="F71" s="142">
        <f t="shared" si="20"/>
        <v>87</v>
      </c>
      <c r="G71" s="159"/>
      <c r="H71" s="145">
        <v>12</v>
      </c>
      <c r="I71" s="151" t="s">
        <v>56</v>
      </c>
      <c r="J71" s="152">
        <f t="shared" si="25"/>
        <v>8</v>
      </c>
      <c r="K71" s="152">
        <f t="shared" si="26"/>
        <v>21</v>
      </c>
      <c r="L71" s="152">
        <f t="shared" si="27"/>
        <v>41</v>
      </c>
      <c r="M71" s="142">
        <f t="shared" si="28"/>
        <v>70</v>
      </c>
    </row>
    <row r="72" spans="1:15" x14ac:dyDescent="0.3">
      <c r="A72" s="145">
        <v>12</v>
      </c>
      <c r="B72" s="151" t="s">
        <v>60</v>
      </c>
      <c r="C72" s="147">
        <f t="shared" si="17"/>
        <v>26</v>
      </c>
      <c r="D72" s="147">
        <f t="shared" si="18"/>
        <v>48</v>
      </c>
      <c r="E72" s="147">
        <f t="shared" si="19"/>
        <v>18</v>
      </c>
      <c r="F72" s="142">
        <f t="shared" si="20"/>
        <v>92</v>
      </c>
      <c r="G72" s="159"/>
      <c r="H72" s="145">
        <v>9</v>
      </c>
      <c r="I72" s="151" t="s">
        <v>58</v>
      </c>
      <c r="J72" s="152">
        <f t="shared" si="25"/>
        <v>18</v>
      </c>
      <c r="K72" s="152">
        <f t="shared" si="26"/>
        <v>38</v>
      </c>
      <c r="L72" s="152">
        <f t="shared" si="27"/>
        <v>8</v>
      </c>
      <c r="M72" s="142">
        <f t="shared" si="28"/>
        <v>64</v>
      </c>
    </row>
    <row r="73" spans="1:15" x14ac:dyDescent="0.3">
      <c r="A73" s="145">
        <v>17</v>
      </c>
      <c r="B73" s="151" t="s">
        <v>54</v>
      </c>
      <c r="C73" s="147">
        <f t="shared" si="17"/>
        <v>31</v>
      </c>
      <c r="D73" s="147">
        <f t="shared" si="18"/>
        <v>53</v>
      </c>
      <c r="E73" s="147">
        <f t="shared" si="19"/>
        <v>42</v>
      </c>
      <c r="F73" s="142">
        <f t="shared" si="20"/>
        <v>126</v>
      </c>
      <c r="G73" s="159"/>
      <c r="H73" s="145">
        <v>1</v>
      </c>
      <c r="I73" s="151" t="s">
        <v>157</v>
      </c>
      <c r="J73" s="152">
        <f t="shared" si="25"/>
        <v>27</v>
      </c>
      <c r="K73" s="152">
        <f t="shared" si="26"/>
        <v>77</v>
      </c>
      <c r="L73" s="152">
        <f t="shared" si="27"/>
        <v>108</v>
      </c>
      <c r="M73" s="142">
        <f t="shared" si="28"/>
        <v>212</v>
      </c>
    </row>
    <row r="74" spans="1:15" x14ac:dyDescent="0.3">
      <c r="A74" s="145">
        <v>3</v>
      </c>
      <c r="B74" s="151" t="s">
        <v>159</v>
      </c>
      <c r="C74" s="147">
        <f t="shared" si="17"/>
        <v>49</v>
      </c>
      <c r="D74" s="147">
        <f t="shared" si="18"/>
        <v>111</v>
      </c>
      <c r="E74" s="147">
        <f t="shared" si="19"/>
        <v>28</v>
      </c>
      <c r="F74" s="142">
        <f t="shared" si="20"/>
        <v>188</v>
      </c>
      <c r="G74" s="159"/>
      <c r="H74" s="146">
        <v>3</v>
      </c>
      <c r="I74" s="154" t="s">
        <v>159</v>
      </c>
      <c r="J74" s="152">
        <f t="shared" si="25"/>
        <v>36</v>
      </c>
      <c r="K74" s="152">
        <f t="shared" si="26"/>
        <v>22</v>
      </c>
      <c r="L74" s="152">
        <f t="shared" si="27"/>
        <v>166</v>
      </c>
      <c r="M74" s="142">
        <f t="shared" si="28"/>
        <v>224</v>
      </c>
    </row>
    <row r="75" spans="1:15" x14ac:dyDescent="0.3">
      <c r="A75" s="146">
        <v>1</v>
      </c>
      <c r="B75" s="154" t="s">
        <v>157</v>
      </c>
      <c r="C75" s="148">
        <f t="shared" si="17"/>
        <v>34</v>
      </c>
      <c r="D75" s="148">
        <f t="shared" si="18"/>
        <v>140</v>
      </c>
      <c r="E75" s="148">
        <f t="shared" si="19"/>
        <v>125</v>
      </c>
      <c r="F75" s="143">
        <f t="shared" si="20"/>
        <v>299</v>
      </c>
      <c r="G75" s="159"/>
    </row>
    <row r="77" spans="1:15" s="102" customFormat="1" ht="18" x14ac:dyDescent="0.35">
      <c r="B77" s="102" t="s">
        <v>108</v>
      </c>
    </row>
    <row r="78" spans="1:15" s="103" customFormat="1" ht="43.5" customHeight="1" x14ac:dyDescent="0.4">
      <c r="B78" s="104" t="s">
        <v>189</v>
      </c>
    </row>
    <row r="79" spans="1:15" x14ac:dyDescent="0.3">
      <c r="A79" s="41"/>
      <c r="B79" s="136" t="s">
        <v>74</v>
      </c>
      <c r="C79" s="41"/>
      <c r="D79" s="41"/>
      <c r="E79" s="136" t="s">
        <v>146</v>
      </c>
      <c r="F79" s="136"/>
      <c r="I79" s="34" t="s">
        <v>143</v>
      </c>
      <c r="M79" s="34" t="s">
        <v>143</v>
      </c>
    </row>
    <row r="80" spans="1:15" x14ac:dyDescent="0.3">
      <c r="A80" s="144"/>
      <c r="B80" s="140"/>
      <c r="C80" s="141" t="str">
        <f>Data!U29</f>
        <v>Local consultant</v>
      </c>
      <c r="D80" s="158"/>
      <c r="E80" s="144"/>
      <c r="F80" s="140"/>
      <c r="G80" s="141" t="str">
        <f>Data!V29</f>
        <v>Visiting consultant</v>
      </c>
      <c r="H80" s="158"/>
      <c r="I80" s="144"/>
      <c r="J80" s="140"/>
      <c r="K80" s="141" t="str">
        <f>Data!U5</f>
        <v>Local consultant</v>
      </c>
      <c r="L80" s="158"/>
      <c r="M80" s="144"/>
      <c r="N80" s="140"/>
      <c r="O80" s="141" t="str">
        <f>Data!V5</f>
        <v>Visiting consultant</v>
      </c>
    </row>
    <row r="81" spans="1:15" x14ac:dyDescent="0.3">
      <c r="A81" s="145">
        <v>9</v>
      </c>
      <c r="B81" s="151" t="s">
        <v>58</v>
      </c>
      <c r="C81" s="160" t="e">
        <f t="shared" ref="C81:C98" si="29">IF(INDEX(Q2_Paeds,4+$A81,21)="No data",NA(),INDEX(Q2_Paeds,4+$A81,21))</f>
        <v>#N/A</v>
      </c>
      <c r="D81" s="162"/>
      <c r="E81" s="145">
        <v>9</v>
      </c>
      <c r="F81" s="151" t="s">
        <v>58</v>
      </c>
      <c r="G81" s="160" t="e">
        <f t="shared" ref="G81:G98" si="30">IF(INDEX(Q2_Paeds,4+$E81,22)="No data",NA(),INDEX(Q2_Paeds,4+$E81,22))</f>
        <v>#N/A</v>
      </c>
      <c r="H81" s="162"/>
      <c r="I81" s="145">
        <v>6</v>
      </c>
      <c r="J81" s="151" t="s">
        <v>165</v>
      </c>
      <c r="K81" s="160" t="e">
        <f t="shared" ref="K81" si="31">IF(INDEX(Q2_Adult,4+$I81,21)="No data",NA(),INDEX(Q2_Adult,4+$I81,21))</f>
        <v>#N/A</v>
      </c>
      <c r="L81" s="162"/>
      <c r="M81" s="145">
        <v>6</v>
      </c>
      <c r="N81" s="151" t="s">
        <v>165</v>
      </c>
      <c r="O81" s="160" t="e">
        <f t="shared" ref="O81" si="32">IF(INDEX(Q2_Adult,4+$M81,22)="No data",NA(),INDEX(Q2_Adult,4+$M81,22))</f>
        <v>#N/A</v>
      </c>
    </row>
    <row r="82" spans="1:15" x14ac:dyDescent="0.3">
      <c r="A82" s="145">
        <v>13</v>
      </c>
      <c r="B82" s="151" t="s">
        <v>56</v>
      </c>
      <c r="C82" s="160" t="e">
        <f t="shared" si="29"/>
        <v>#N/A</v>
      </c>
      <c r="D82" s="162"/>
      <c r="E82" s="145">
        <v>13</v>
      </c>
      <c r="F82" s="151" t="s">
        <v>56</v>
      </c>
      <c r="G82" s="160" t="e">
        <f t="shared" si="30"/>
        <v>#N/A</v>
      </c>
      <c r="H82" s="162"/>
      <c r="I82" s="145">
        <v>11</v>
      </c>
      <c r="J82" s="151" t="s">
        <v>60</v>
      </c>
      <c r="K82" s="160" t="e">
        <f t="shared" ref="K82:K97" si="33">IF(INDEX(Q2_Adult,4+$I82,21)="No data",NA(),INDEX(Q2_Adult,4+$I82,21))</f>
        <v>#N/A</v>
      </c>
      <c r="L82" s="162"/>
      <c r="M82" s="145">
        <v>11</v>
      </c>
      <c r="N82" s="151" t="s">
        <v>60</v>
      </c>
      <c r="O82" s="160" t="e">
        <f t="shared" ref="O82:O97" si="34">IF(INDEX(Q2_Adult,4+$M82,22)="No data",NA(),INDEX(Q2_Adult,4+$M82,22))</f>
        <v>#N/A</v>
      </c>
    </row>
    <row r="83" spans="1:15" x14ac:dyDescent="0.3">
      <c r="A83" s="145">
        <v>14</v>
      </c>
      <c r="B83" s="151" t="s">
        <v>61</v>
      </c>
      <c r="C83" s="160" t="e">
        <f t="shared" si="29"/>
        <v>#N/A</v>
      </c>
      <c r="D83" s="162"/>
      <c r="E83" s="145">
        <v>14</v>
      </c>
      <c r="F83" s="151" t="s">
        <v>61</v>
      </c>
      <c r="G83" s="160" t="e">
        <f t="shared" si="30"/>
        <v>#N/A</v>
      </c>
      <c r="H83" s="162"/>
      <c r="I83" s="145">
        <v>14</v>
      </c>
      <c r="J83" s="151" t="s">
        <v>52</v>
      </c>
      <c r="K83" s="160" t="e">
        <f t="shared" si="33"/>
        <v>#N/A</v>
      </c>
      <c r="L83" s="162"/>
      <c r="M83" s="145">
        <v>14</v>
      </c>
      <c r="N83" s="151" t="s">
        <v>52</v>
      </c>
      <c r="O83" s="160" t="e">
        <f t="shared" si="34"/>
        <v>#N/A</v>
      </c>
    </row>
    <row r="84" spans="1:15" x14ac:dyDescent="0.3">
      <c r="A84" s="145">
        <v>6</v>
      </c>
      <c r="B84" s="151" t="s">
        <v>165</v>
      </c>
      <c r="C84" s="160">
        <f t="shared" si="29"/>
        <v>0</v>
      </c>
      <c r="D84" s="162"/>
      <c r="E84" s="145">
        <v>2</v>
      </c>
      <c r="F84" s="151" t="s">
        <v>158</v>
      </c>
      <c r="G84" s="160">
        <f t="shared" si="30"/>
        <v>0</v>
      </c>
      <c r="H84" s="162"/>
      <c r="I84" s="145">
        <v>17</v>
      </c>
      <c r="J84" s="151" t="s">
        <v>62</v>
      </c>
      <c r="K84" s="160" t="e">
        <f t="shared" si="33"/>
        <v>#N/A</v>
      </c>
      <c r="L84" s="162"/>
      <c r="M84" s="145">
        <v>17</v>
      </c>
      <c r="N84" s="151" t="s">
        <v>62</v>
      </c>
      <c r="O84" s="160" t="e">
        <f t="shared" si="34"/>
        <v>#N/A</v>
      </c>
    </row>
    <row r="85" spans="1:15" x14ac:dyDescent="0.3">
      <c r="A85" s="145">
        <v>7</v>
      </c>
      <c r="B85" s="151" t="s">
        <v>166</v>
      </c>
      <c r="C85" s="160">
        <f t="shared" si="29"/>
        <v>0</v>
      </c>
      <c r="D85" s="162"/>
      <c r="E85" s="145">
        <v>6</v>
      </c>
      <c r="F85" s="151" t="s">
        <v>165</v>
      </c>
      <c r="G85" s="160">
        <f t="shared" si="30"/>
        <v>0</v>
      </c>
      <c r="H85" s="162"/>
      <c r="I85" s="145">
        <v>1</v>
      </c>
      <c r="J85" s="151" t="s">
        <v>157</v>
      </c>
      <c r="K85" s="160">
        <f t="shared" si="33"/>
        <v>0</v>
      </c>
      <c r="L85" s="162"/>
      <c r="M85" s="145">
        <v>10</v>
      </c>
      <c r="N85" s="151" t="s">
        <v>164</v>
      </c>
      <c r="O85" s="160">
        <f t="shared" si="34"/>
        <v>0</v>
      </c>
    </row>
    <row r="86" spans="1:15" x14ac:dyDescent="0.3">
      <c r="A86" s="145">
        <v>15</v>
      </c>
      <c r="B86" s="151" t="s">
        <v>52</v>
      </c>
      <c r="C86" s="160">
        <f t="shared" si="29"/>
        <v>0</v>
      </c>
      <c r="D86" s="162"/>
      <c r="E86" s="145">
        <v>7</v>
      </c>
      <c r="F86" s="151" t="s">
        <v>166</v>
      </c>
      <c r="G86" s="160">
        <f t="shared" si="30"/>
        <v>0</v>
      </c>
      <c r="H86" s="162"/>
      <c r="I86" s="145">
        <v>3</v>
      </c>
      <c r="J86" s="151" t="s">
        <v>159</v>
      </c>
      <c r="K86" s="160">
        <f t="shared" si="33"/>
        <v>0</v>
      </c>
      <c r="L86" s="162"/>
      <c r="M86" s="145">
        <v>1</v>
      </c>
      <c r="N86" s="151" t="s">
        <v>157</v>
      </c>
      <c r="O86" s="160">
        <f t="shared" si="34"/>
        <v>0</v>
      </c>
    </row>
    <row r="87" spans="1:15" x14ac:dyDescent="0.3">
      <c r="A87" s="145">
        <v>17</v>
      </c>
      <c r="B87" s="151" t="s">
        <v>54</v>
      </c>
      <c r="C87" s="160">
        <f t="shared" si="29"/>
        <v>0</v>
      </c>
      <c r="D87" s="162"/>
      <c r="E87" s="145">
        <v>8</v>
      </c>
      <c r="F87" s="151" t="s">
        <v>162</v>
      </c>
      <c r="G87" s="160">
        <f t="shared" si="30"/>
        <v>0</v>
      </c>
      <c r="H87" s="162"/>
      <c r="I87" s="145">
        <v>5</v>
      </c>
      <c r="J87" s="151" t="s">
        <v>161</v>
      </c>
      <c r="K87" s="160">
        <f t="shared" si="33"/>
        <v>0</v>
      </c>
      <c r="L87" s="162"/>
      <c r="M87" s="145">
        <v>2</v>
      </c>
      <c r="N87" s="151" t="s">
        <v>158</v>
      </c>
      <c r="O87" s="160">
        <f t="shared" si="34"/>
        <v>0</v>
      </c>
    </row>
    <row r="88" spans="1:15" x14ac:dyDescent="0.3">
      <c r="A88" s="145">
        <v>10</v>
      </c>
      <c r="B88" s="151" t="s">
        <v>59</v>
      </c>
      <c r="C88" s="160">
        <f t="shared" si="29"/>
        <v>0.05</v>
      </c>
      <c r="D88" s="162"/>
      <c r="E88" s="145">
        <v>11</v>
      </c>
      <c r="F88" s="151" t="s">
        <v>164</v>
      </c>
      <c r="G88" s="160">
        <f t="shared" si="30"/>
        <v>0</v>
      </c>
      <c r="H88" s="162"/>
      <c r="I88" s="145">
        <v>7</v>
      </c>
      <c r="J88" s="151" t="s">
        <v>166</v>
      </c>
      <c r="K88" s="160">
        <f t="shared" si="33"/>
        <v>0</v>
      </c>
      <c r="L88" s="162"/>
      <c r="M88" s="145">
        <v>3</v>
      </c>
      <c r="N88" s="151" t="s">
        <v>159</v>
      </c>
      <c r="O88" s="160">
        <f t="shared" si="34"/>
        <v>0</v>
      </c>
    </row>
    <row r="89" spans="1:15" x14ac:dyDescent="0.3">
      <c r="A89" s="145">
        <v>8</v>
      </c>
      <c r="B89" s="151" t="s">
        <v>162</v>
      </c>
      <c r="C89" s="160">
        <f t="shared" si="29"/>
        <v>0.06</v>
      </c>
      <c r="D89" s="162"/>
      <c r="E89" s="145">
        <v>15</v>
      </c>
      <c r="F89" s="151" t="s">
        <v>52</v>
      </c>
      <c r="G89" s="160">
        <f t="shared" si="30"/>
        <v>0</v>
      </c>
      <c r="H89" s="162"/>
      <c r="I89" s="145">
        <v>8</v>
      </c>
      <c r="J89" s="151" t="s">
        <v>162</v>
      </c>
      <c r="K89" s="160">
        <f t="shared" si="33"/>
        <v>0</v>
      </c>
      <c r="L89" s="162"/>
      <c r="M89" s="145">
        <v>4</v>
      </c>
      <c r="N89" s="151" t="s">
        <v>160</v>
      </c>
      <c r="O89" s="160">
        <f t="shared" si="34"/>
        <v>0</v>
      </c>
    </row>
    <row r="90" spans="1:15" x14ac:dyDescent="0.3">
      <c r="A90" s="145">
        <v>2</v>
      </c>
      <c r="B90" s="151" t="s">
        <v>158</v>
      </c>
      <c r="C90" s="160">
        <f t="shared" si="29"/>
        <v>7.0000000000000007E-2</v>
      </c>
      <c r="D90" s="162"/>
      <c r="E90" s="145">
        <v>17</v>
      </c>
      <c r="F90" s="151" t="s">
        <v>54</v>
      </c>
      <c r="G90" s="160">
        <f t="shared" si="30"/>
        <v>0</v>
      </c>
      <c r="H90" s="162"/>
      <c r="I90" s="145">
        <v>9</v>
      </c>
      <c r="J90" s="151" t="s">
        <v>58</v>
      </c>
      <c r="K90" s="160">
        <f t="shared" si="33"/>
        <v>0</v>
      </c>
      <c r="L90" s="162"/>
      <c r="M90" s="145">
        <v>5</v>
      </c>
      <c r="N90" s="151" t="s">
        <v>161</v>
      </c>
      <c r="O90" s="160">
        <f t="shared" si="34"/>
        <v>0</v>
      </c>
    </row>
    <row r="91" spans="1:15" x14ac:dyDescent="0.3">
      <c r="A91" s="145">
        <v>12</v>
      </c>
      <c r="B91" s="151" t="s">
        <v>60</v>
      </c>
      <c r="C91" s="160">
        <f t="shared" si="29"/>
        <v>0.08</v>
      </c>
      <c r="D91" s="162"/>
      <c r="E91" s="145">
        <v>3</v>
      </c>
      <c r="F91" s="151" t="s">
        <v>159</v>
      </c>
      <c r="G91" s="160">
        <f t="shared" si="30"/>
        <v>0.05</v>
      </c>
      <c r="H91" s="162"/>
      <c r="I91" s="145">
        <v>12</v>
      </c>
      <c r="J91" s="151" t="s">
        <v>56</v>
      </c>
      <c r="K91" s="160">
        <f t="shared" si="33"/>
        <v>0</v>
      </c>
      <c r="L91" s="162"/>
      <c r="M91" s="145">
        <v>7</v>
      </c>
      <c r="N91" s="151" t="s">
        <v>166</v>
      </c>
      <c r="O91" s="160">
        <f t="shared" si="34"/>
        <v>0</v>
      </c>
    </row>
    <row r="92" spans="1:15" x14ac:dyDescent="0.3">
      <c r="A92" s="145">
        <v>16</v>
      </c>
      <c r="B92" s="151" t="s">
        <v>57</v>
      </c>
      <c r="C92" s="160">
        <f t="shared" si="29"/>
        <v>0.08</v>
      </c>
      <c r="D92" s="162"/>
      <c r="E92" s="145">
        <v>10</v>
      </c>
      <c r="F92" s="151" t="s">
        <v>59</v>
      </c>
      <c r="G92" s="160">
        <f t="shared" si="30"/>
        <v>0.05</v>
      </c>
      <c r="H92" s="162"/>
      <c r="I92" s="145">
        <v>15</v>
      </c>
      <c r="J92" s="151" t="s">
        <v>57</v>
      </c>
      <c r="K92" s="160">
        <f t="shared" si="33"/>
        <v>0</v>
      </c>
      <c r="L92" s="162"/>
      <c r="M92" s="145">
        <v>8</v>
      </c>
      <c r="N92" s="151" t="s">
        <v>162</v>
      </c>
      <c r="O92" s="160">
        <f t="shared" si="34"/>
        <v>0</v>
      </c>
    </row>
    <row r="93" spans="1:15" x14ac:dyDescent="0.3">
      <c r="A93" s="145">
        <v>11</v>
      </c>
      <c r="B93" s="151" t="s">
        <v>164</v>
      </c>
      <c r="C93" s="160">
        <f t="shared" si="29"/>
        <v>0.09</v>
      </c>
      <c r="D93" s="162"/>
      <c r="E93" s="145">
        <v>12</v>
      </c>
      <c r="F93" s="151" t="s">
        <v>60</v>
      </c>
      <c r="G93" s="160">
        <f t="shared" si="30"/>
        <v>0.05</v>
      </c>
      <c r="H93" s="162"/>
      <c r="I93" s="145">
        <v>13</v>
      </c>
      <c r="J93" s="151" t="s">
        <v>61</v>
      </c>
      <c r="K93" s="160">
        <f t="shared" si="33"/>
        <v>0.04</v>
      </c>
      <c r="L93" s="162"/>
      <c r="M93" s="145">
        <v>9</v>
      </c>
      <c r="N93" s="151" t="s">
        <v>58</v>
      </c>
      <c r="O93" s="160">
        <f t="shared" si="34"/>
        <v>0</v>
      </c>
    </row>
    <row r="94" spans="1:15" x14ac:dyDescent="0.3">
      <c r="A94" s="145">
        <v>18</v>
      </c>
      <c r="B94" s="151" t="s">
        <v>62</v>
      </c>
      <c r="C94" s="160">
        <f t="shared" si="29"/>
        <v>0.1</v>
      </c>
      <c r="D94" s="162"/>
      <c r="E94" s="145">
        <v>16</v>
      </c>
      <c r="F94" s="151" t="s">
        <v>57</v>
      </c>
      <c r="G94" s="160">
        <f t="shared" si="30"/>
        <v>7.0000000000000007E-2</v>
      </c>
      <c r="H94" s="162"/>
      <c r="I94" s="145">
        <v>16</v>
      </c>
      <c r="J94" s="151" t="s">
        <v>54</v>
      </c>
      <c r="K94" s="160">
        <f t="shared" si="33"/>
        <v>0.04</v>
      </c>
      <c r="L94" s="162"/>
      <c r="M94" s="145">
        <v>12</v>
      </c>
      <c r="N94" s="151" t="s">
        <v>56</v>
      </c>
      <c r="O94" s="160">
        <f t="shared" si="34"/>
        <v>0</v>
      </c>
    </row>
    <row r="95" spans="1:15" x14ac:dyDescent="0.3">
      <c r="A95" s="145">
        <v>3</v>
      </c>
      <c r="B95" s="151" t="s">
        <v>159</v>
      </c>
      <c r="C95" s="160">
        <f t="shared" si="29"/>
        <v>0.12</v>
      </c>
      <c r="D95" s="162"/>
      <c r="E95" s="145">
        <v>18</v>
      </c>
      <c r="F95" s="151" t="s">
        <v>62</v>
      </c>
      <c r="G95" s="160">
        <f t="shared" si="30"/>
        <v>7.0000000000000007E-2</v>
      </c>
      <c r="H95" s="162"/>
      <c r="I95" s="145">
        <v>4</v>
      </c>
      <c r="J95" s="151" t="s">
        <v>160</v>
      </c>
      <c r="K95" s="160">
        <f t="shared" si="33"/>
        <v>0.13</v>
      </c>
      <c r="L95" s="162"/>
      <c r="M95" s="145">
        <v>13</v>
      </c>
      <c r="N95" s="151" t="s">
        <v>61</v>
      </c>
      <c r="O95" s="160">
        <f t="shared" si="34"/>
        <v>0</v>
      </c>
    </row>
    <row r="96" spans="1:15" x14ac:dyDescent="0.3">
      <c r="A96" s="145">
        <v>1</v>
      </c>
      <c r="B96" s="151" t="s">
        <v>157</v>
      </c>
      <c r="C96" s="160">
        <f t="shared" si="29"/>
        <v>0.13</v>
      </c>
      <c r="D96" s="162"/>
      <c r="E96" s="145">
        <v>1</v>
      </c>
      <c r="F96" s="151" t="s">
        <v>157</v>
      </c>
      <c r="G96" s="160">
        <f t="shared" si="30"/>
        <v>0.08</v>
      </c>
      <c r="H96" s="162"/>
      <c r="I96" s="145">
        <v>2</v>
      </c>
      <c r="J96" s="151" t="s">
        <v>158</v>
      </c>
      <c r="K96" s="160">
        <f t="shared" si="33"/>
        <v>0.15</v>
      </c>
      <c r="L96" s="162"/>
      <c r="M96" s="145">
        <v>15</v>
      </c>
      <c r="N96" s="151" t="s">
        <v>57</v>
      </c>
      <c r="O96" s="160">
        <f t="shared" si="34"/>
        <v>0</v>
      </c>
    </row>
    <row r="97" spans="1:15" x14ac:dyDescent="0.3">
      <c r="A97" s="145">
        <v>5</v>
      </c>
      <c r="B97" s="151" t="s">
        <v>161</v>
      </c>
      <c r="C97" s="160">
        <f t="shared" si="29"/>
        <v>0.21</v>
      </c>
      <c r="D97" s="162"/>
      <c r="E97" s="145">
        <v>5</v>
      </c>
      <c r="F97" s="151" t="s">
        <v>161</v>
      </c>
      <c r="G97" s="160">
        <f t="shared" si="30"/>
        <v>0.23</v>
      </c>
      <c r="H97" s="162"/>
      <c r="I97" s="146">
        <v>10</v>
      </c>
      <c r="J97" s="154" t="s">
        <v>164</v>
      </c>
      <c r="K97" s="160">
        <f t="shared" si="33"/>
        <v>0.23100000000000001</v>
      </c>
      <c r="L97" s="162"/>
      <c r="M97" s="146">
        <v>16</v>
      </c>
      <c r="N97" s="154" t="s">
        <v>54</v>
      </c>
      <c r="O97" s="160">
        <f t="shared" si="34"/>
        <v>0.09</v>
      </c>
    </row>
    <row r="98" spans="1:15" x14ac:dyDescent="0.3">
      <c r="A98" s="146">
        <v>4</v>
      </c>
      <c r="B98" s="154" t="s">
        <v>160</v>
      </c>
      <c r="C98" s="161">
        <f t="shared" si="29"/>
        <v>0.22</v>
      </c>
      <c r="D98" s="162"/>
      <c r="E98" s="146">
        <v>4</v>
      </c>
      <c r="F98" s="154" t="s">
        <v>160</v>
      </c>
      <c r="G98" s="161">
        <f t="shared" si="30"/>
        <v>0.37</v>
      </c>
      <c r="H98" s="162"/>
    </row>
    <row r="99" spans="1:15" s="41" customFormat="1" x14ac:dyDescent="0.3">
      <c r="B99" s="75"/>
      <c r="C99" s="105"/>
      <c r="D99" s="105"/>
      <c r="E99" s="75"/>
      <c r="F99" s="105"/>
    </row>
    <row r="100" spans="1:15" ht="18" x14ac:dyDescent="0.3">
      <c r="B100" s="106" t="s">
        <v>174</v>
      </c>
      <c r="F100" s="106" t="s">
        <v>175</v>
      </c>
    </row>
    <row r="101" spans="1:15" x14ac:dyDescent="0.3">
      <c r="A101" s="239" t="s">
        <v>75</v>
      </c>
      <c r="B101" s="414" t="s">
        <v>173</v>
      </c>
      <c r="C101" s="415"/>
      <c r="D101" s="240"/>
      <c r="E101" s="241" t="s">
        <v>75</v>
      </c>
      <c r="F101" s="416" t="s">
        <v>4</v>
      </c>
      <c r="G101" s="416"/>
      <c r="H101" s="416" t="s">
        <v>5</v>
      </c>
      <c r="I101" s="416"/>
      <c r="J101" s="416" t="s">
        <v>6</v>
      </c>
      <c r="K101" s="416"/>
      <c r="L101" s="416" t="s">
        <v>7</v>
      </c>
      <c r="M101" s="416"/>
    </row>
    <row r="102" spans="1:15" ht="15" customHeight="1" x14ac:dyDescent="0.3">
      <c r="A102" s="242" t="s">
        <v>53</v>
      </c>
      <c r="B102" s="243" t="s">
        <v>1</v>
      </c>
      <c r="C102" s="244" t="s">
        <v>76</v>
      </c>
      <c r="D102" s="240"/>
      <c r="E102" s="245" t="s">
        <v>53</v>
      </c>
      <c r="F102" s="246" t="s">
        <v>1</v>
      </c>
      <c r="G102" s="247" t="s">
        <v>76</v>
      </c>
      <c r="H102" s="248" t="s">
        <v>1</v>
      </c>
      <c r="I102" s="249" t="s">
        <v>76</v>
      </c>
      <c r="J102" s="250" t="s">
        <v>1</v>
      </c>
      <c r="K102" s="247" t="s">
        <v>76</v>
      </c>
      <c r="L102" s="251" t="s">
        <v>1</v>
      </c>
      <c r="M102" s="249" t="s">
        <v>76</v>
      </c>
      <c r="N102" s="46"/>
    </row>
    <row r="103" spans="1:15" x14ac:dyDescent="0.3">
      <c r="A103" s="252" t="s">
        <v>172</v>
      </c>
      <c r="B103" s="253">
        <f>_xlfn.AGGREGATE(4,6,$K$81:$K$97)</f>
        <v>0.23100000000000001</v>
      </c>
      <c r="C103" s="254">
        <f>_xlfn.AGGREGATE(4,6,$O$81:$O$97)</f>
        <v>0.09</v>
      </c>
      <c r="D103" s="240"/>
      <c r="E103" s="241" t="s">
        <v>172</v>
      </c>
      <c r="F103" s="255">
        <v>0.255</v>
      </c>
      <c r="G103" s="256">
        <v>0.19</v>
      </c>
      <c r="H103" s="255">
        <v>0.23</v>
      </c>
      <c r="I103" s="256">
        <v>0.09</v>
      </c>
      <c r="J103" s="257"/>
      <c r="K103" s="256"/>
      <c r="L103" s="258"/>
      <c r="M103" s="256"/>
      <c r="N103" s="46"/>
    </row>
    <row r="104" spans="1:15" x14ac:dyDescent="0.3">
      <c r="A104" s="252" t="s">
        <v>170</v>
      </c>
      <c r="B104" s="253">
        <f>_xlfn.AGGREGATE(5,6,$K$81:$K$97)</f>
        <v>0</v>
      </c>
      <c r="C104" s="254">
        <f>_xlfn.AGGREGATE(5,6,$O$81:$O$97)</f>
        <v>0</v>
      </c>
      <c r="D104" s="240"/>
      <c r="E104" s="241" t="s">
        <v>170</v>
      </c>
      <c r="F104" s="255">
        <v>0</v>
      </c>
      <c r="G104" s="256">
        <v>0</v>
      </c>
      <c r="H104" s="255">
        <v>0</v>
      </c>
      <c r="I104" s="256">
        <v>0</v>
      </c>
      <c r="J104" s="257"/>
      <c r="K104" s="256"/>
      <c r="L104" s="258"/>
      <c r="M104" s="256"/>
      <c r="N104" s="46"/>
    </row>
    <row r="105" spans="1:15" x14ac:dyDescent="0.3">
      <c r="A105" s="259" t="s">
        <v>171</v>
      </c>
      <c r="B105" s="260">
        <f>_xlfn.AGGREGATE(12,6,$K$81:$K$97)</f>
        <v>0</v>
      </c>
      <c r="C105" s="261">
        <f>_xlfn.AGGREGATE(12,6,$O$81:$O$97)</f>
        <v>0</v>
      </c>
      <c r="D105" s="240"/>
      <c r="E105" s="241" t="s">
        <v>171</v>
      </c>
      <c r="F105" s="262">
        <v>0.04</v>
      </c>
      <c r="G105" s="263">
        <v>0</v>
      </c>
      <c r="H105" s="262">
        <v>0</v>
      </c>
      <c r="I105" s="263">
        <v>0</v>
      </c>
      <c r="J105" s="264"/>
      <c r="K105" s="263"/>
      <c r="L105" s="265"/>
      <c r="M105" s="263"/>
      <c r="N105" s="46"/>
    </row>
    <row r="106" spans="1:15" x14ac:dyDescent="0.3">
      <c r="A106" s="240"/>
      <c r="B106" s="240"/>
      <c r="C106" s="240"/>
      <c r="D106" s="240"/>
      <c r="E106" s="240"/>
      <c r="F106" s="240"/>
      <c r="G106" s="240"/>
      <c r="H106" s="240"/>
      <c r="I106" s="240"/>
      <c r="J106" s="240"/>
      <c r="K106" s="240"/>
      <c r="L106" s="240"/>
      <c r="M106" s="240"/>
    </row>
    <row r="107" spans="1:15" x14ac:dyDescent="0.3">
      <c r="A107" s="250" t="s">
        <v>77</v>
      </c>
      <c r="B107" s="414" t="s">
        <v>173</v>
      </c>
      <c r="C107" s="415"/>
      <c r="D107" s="240"/>
      <c r="E107" s="266" t="s">
        <v>77</v>
      </c>
      <c r="F107" s="416" t="s">
        <v>4</v>
      </c>
      <c r="G107" s="416"/>
      <c r="H107" s="416" t="s">
        <v>5</v>
      </c>
      <c r="I107" s="416"/>
      <c r="J107" s="416" t="s">
        <v>6</v>
      </c>
      <c r="K107" s="416"/>
      <c r="L107" s="416" t="s">
        <v>7</v>
      </c>
      <c r="M107" s="416"/>
    </row>
    <row r="108" spans="1:15" x14ac:dyDescent="0.3">
      <c r="A108" s="267" t="s">
        <v>12</v>
      </c>
      <c r="B108" s="268" t="s">
        <v>1</v>
      </c>
      <c r="C108" s="269" t="s">
        <v>76</v>
      </c>
      <c r="D108" s="240"/>
      <c r="E108" s="266" t="s">
        <v>12</v>
      </c>
      <c r="F108" s="246" t="s">
        <v>1</v>
      </c>
      <c r="G108" s="247" t="s">
        <v>76</v>
      </c>
      <c r="H108" s="248" t="s">
        <v>1</v>
      </c>
      <c r="I108" s="249" t="s">
        <v>76</v>
      </c>
      <c r="J108" s="250" t="s">
        <v>1</v>
      </c>
      <c r="K108" s="247" t="s">
        <v>76</v>
      </c>
      <c r="L108" s="251" t="s">
        <v>1</v>
      </c>
      <c r="M108" s="249" t="s">
        <v>76</v>
      </c>
    </row>
    <row r="109" spans="1:15" x14ac:dyDescent="0.3">
      <c r="A109" s="252" t="s">
        <v>172</v>
      </c>
      <c r="B109" s="253">
        <f>_xlfn.AGGREGATE(4,6,$C$81:$C$98)</f>
        <v>0.22</v>
      </c>
      <c r="C109" s="254">
        <f>_xlfn.AGGREGATE(4,6,$G$81:$G$98)</f>
        <v>0.37</v>
      </c>
      <c r="D109" s="240"/>
      <c r="E109" s="241" t="s">
        <v>172</v>
      </c>
      <c r="F109" s="255">
        <v>0.3095</v>
      </c>
      <c r="G109" s="256">
        <v>0.1</v>
      </c>
      <c r="H109" s="255">
        <v>0.22</v>
      </c>
      <c r="I109" s="256">
        <v>0.37</v>
      </c>
      <c r="J109" s="257"/>
      <c r="K109" s="256"/>
      <c r="L109" s="258"/>
      <c r="M109" s="256"/>
    </row>
    <row r="110" spans="1:15" x14ac:dyDescent="0.3">
      <c r="A110" s="252" t="s">
        <v>170</v>
      </c>
      <c r="B110" s="253">
        <f>_xlfn.AGGREGATE(5,6,$C$81:$C$98)</f>
        <v>0</v>
      </c>
      <c r="C110" s="254">
        <f>_xlfn.AGGREGATE(5,6,$G$81:$G$98)</f>
        <v>0</v>
      </c>
      <c r="D110" s="240"/>
      <c r="E110" s="241" t="s">
        <v>170</v>
      </c>
      <c r="F110" s="255">
        <v>0</v>
      </c>
      <c r="G110" s="256">
        <v>0</v>
      </c>
      <c r="H110" s="255">
        <v>0</v>
      </c>
      <c r="I110" s="256">
        <v>0</v>
      </c>
      <c r="J110" s="257"/>
      <c r="K110" s="256"/>
      <c r="L110" s="258"/>
      <c r="M110" s="256"/>
    </row>
    <row r="111" spans="1:15" x14ac:dyDescent="0.3">
      <c r="A111" s="259" t="s">
        <v>171</v>
      </c>
      <c r="B111" s="260">
        <f>_xlfn.AGGREGATE(12,6,$C$81:$C$98)</f>
        <v>0.08</v>
      </c>
      <c r="C111" s="261">
        <f>_xlfn.AGGREGATE(12,6,$G$81:$G$98)</f>
        <v>0.05</v>
      </c>
      <c r="D111" s="240"/>
      <c r="E111" s="241" t="s">
        <v>171</v>
      </c>
      <c r="F111" s="262">
        <v>6.3399999999999998E-2</v>
      </c>
      <c r="G111" s="263">
        <v>1.6E-2</v>
      </c>
      <c r="H111" s="262">
        <v>0.08</v>
      </c>
      <c r="I111" s="263">
        <v>0.05</v>
      </c>
      <c r="J111" s="264"/>
      <c r="K111" s="263"/>
      <c r="L111" s="265"/>
      <c r="M111" s="263"/>
    </row>
  </sheetData>
  <sortState xmlns:xlrd2="http://schemas.microsoft.com/office/spreadsheetml/2017/richdata2" ref="H14:L26">
    <sortCondition ref="J14:J26"/>
  </sortState>
  <mergeCells count="10">
    <mergeCell ref="B101:C101"/>
    <mergeCell ref="F101:G101"/>
    <mergeCell ref="H101:I101"/>
    <mergeCell ref="J101:K101"/>
    <mergeCell ref="L101:M101"/>
    <mergeCell ref="B107:C107"/>
    <mergeCell ref="F107:G107"/>
    <mergeCell ref="H107:I107"/>
    <mergeCell ref="J107:K107"/>
    <mergeCell ref="L107:M10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2:P23"/>
  <sheetViews>
    <sheetView showGridLines="0" workbookViewId="0">
      <selection activeCell="D40" sqref="D40"/>
    </sheetView>
  </sheetViews>
  <sheetFormatPr defaultColWidth="0" defaultRowHeight="14.4" x14ac:dyDescent="0.3"/>
  <cols>
    <col min="1" max="1" width="9.109375" customWidth="1"/>
    <col min="2" max="2" width="30.88671875" customWidth="1"/>
    <col min="3" max="3" width="59.109375" customWidth="1"/>
    <col min="4" max="4" width="16.44140625" customWidth="1"/>
    <col min="5" max="5" width="40" customWidth="1"/>
    <col min="6" max="16" width="9.109375" customWidth="1"/>
    <col min="17" max="16384" width="9.109375" hidden="1"/>
  </cols>
  <sheetData>
    <row r="2" spans="2:5" ht="18" customHeight="1" x14ac:dyDescent="0.3">
      <c r="B2" s="284" t="s">
        <v>119</v>
      </c>
      <c r="C2" s="284"/>
      <c r="D2" s="130"/>
      <c r="E2" s="130"/>
    </row>
    <row r="3" spans="2:5" ht="16.2" thickBot="1" x14ac:dyDescent="0.35">
      <c r="B3" s="130"/>
      <c r="C3" s="130" t="s">
        <v>120</v>
      </c>
      <c r="D3" s="130" t="s">
        <v>121</v>
      </c>
      <c r="E3" s="130" t="s">
        <v>122</v>
      </c>
    </row>
    <row r="4" spans="2:5" ht="21" customHeight="1" x14ac:dyDescent="0.3">
      <c r="B4" s="285" t="s">
        <v>123</v>
      </c>
      <c r="C4" s="286" t="s">
        <v>124</v>
      </c>
      <c r="D4" s="107" t="s">
        <v>125</v>
      </c>
      <c r="E4" s="287" t="s">
        <v>128</v>
      </c>
    </row>
    <row r="5" spans="2:5" ht="21" customHeight="1" x14ac:dyDescent="0.3">
      <c r="B5" s="285"/>
      <c r="C5" s="286"/>
      <c r="D5" s="108" t="s">
        <v>126</v>
      </c>
      <c r="E5" s="287"/>
    </row>
    <row r="6" spans="2:5" ht="21" customHeight="1" thickBot="1" x14ac:dyDescent="0.35">
      <c r="B6" s="285"/>
      <c r="C6" s="286"/>
      <c r="D6" s="109" t="s">
        <v>127</v>
      </c>
      <c r="E6" s="287"/>
    </row>
    <row r="7" spans="2:5" ht="21" customHeight="1" x14ac:dyDescent="0.3">
      <c r="B7" s="285"/>
      <c r="C7" s="286" t="s">
        <v>129</v>
      </c>
      <c r="D7" s="107" t="s">
        <v>125</v>
      </c>
      <c r="E7" s="287"/>
    </row>
    <row r="8" spans="2:5" ht="21" customHeight="1" x14ac:dyDescent="0.3">
      <c r="B8" s="285"/>
      <c r="C8" s="286"/>
      <c r="D8" s="108" t="s">
        <v>126</v>
      </c>
      <c r="E8" s="287"/>
    </row>
    <row r="9" spans="2:5" ht="21" customHeight="1" thickBot="1" x14ac:dyDescent="0.35">
      <c r="B9" s="285"/>
      <c r="C9" s="286"/>
      <c r="D9" s="109" t="s">
        <v>127</v>
      </c>
      <c r="E9" s="287"/>
    </row>
    <row r="10" spans="2:5" ht="21.6" customHeight="1" x14ac:dyDescent="0.3">
      <c r="B10" s="285" t="s">
        <v>130</v>
      </c>
      <c r="C10" s="132" t="s">
        <v>131</v>
      </c>
      <c r="D10" s="131" t="s">
        <v>135</v>
      </c>
      <c r="E10" s="286" t="s">
        <v>136</v>
      </c>
    </row>
    <row r="11" spans="2:5" ht="21.6" customHeight="1" thickBot="1" x14ac:dyDescent="0.35">
      <c r="B11" s="285"/>
      <c r="C11" s="132" t="s">
        <v>132</v>
      </c>
      <c r="D11" s="109" t="s">
        <v>84</v>
      </c>
      <c r="E11" s="286"/>
    </row>
    <row r="12" spans="2:5" ht="21.6" customHeight="1" thickBot="1" x14ac:dyDescent="0.35">
      <c r="B12" s="285"/>
      <c r="C12" s="132" t="s">
        <v>133</v>
      </c>
      <c r="D12" s="108" t="s">
        <v>84</v>
      </c>
      <c r="E12" s="286"/>
    </row>
    <row r="13" spans="2:5" ht="21.6" customHeight="1" x14ac:dyDescent="0.3">
      <c r="B13" s="285"/>
      <c r="C13" s="132" t="s">
        <v>134</v>
      </c>
      <c r="D13" s="107" t="s">
        <v>84</v>
      </c>
      <c r="E13" s="286"/>
    </row>
    <row r="14" spans="2:5" ht="21.6" customHeight="1" x14ac:dyDescent="0.3">
      <c r="B14" s="285" t="s">
        <v>137</v>
      </c>
      <c r="C14" s="132" t="s">
        <v>131</v>
      </c>
      <c r="D14" s="131" t="s">
        <v>135</v>
      </c>
      <c r="E14" s="286"/>
    </row>
    <row r="15" spans="2:5" ht="21.6" customHeight="1" thickBot="1" x14ac:dyDescent="0.35">
      <c r="B15" s="285"/>
      <c r="C15" s="132" t="s">
        <v>132</v>
      </c>
      <c r="D15" s="109" t="s">
        <v>84</v>
      </c>
      <c r="E15" s="286"/>
    </row>
    <row r="16" spans="2:5" ht="21.6" customHeight="1" thickBot="1" x14ac:dyDescent="0.35">
      <c r="B16" s="285"/>
      <c r="C16" s="132" t="s">
        <v>133</v>
      </c>
      <c r="D16" s="108" t="s">
        <v>84</v>
      </c>
      <c r="E16" s="286"/>
    </row>
    <row r="17" spans="2:5" ht="21.6" customHeight="1" thickBot="1" x14ac:dyDescent="0.35">
      <c r="B17" s="285"/>
      <c r="C17" s="132" t="s">
        <v>134</v>
      </c>
      <c r="D17" s="107" t="s">
        <v>84</v>
      </c>
      <c r="E17" s="286"/>
    </row>
    <row r="18" spans="2:5" ht="21.6" customHeight="1" x14ac:dyDescent="0.3">
      <c r="B18" s="285" t="s">
        <v>138</v>
      </c>
      <c r="C18" s="286" t="s">
        <v>140</v>
      </c>
      <c r="D18" s="107" t="s">
        <v>81</v>
      </c>
      <c r="E18" s="286" t="s">
        <v>142</v>
      </c>
    </row>
    <row r="19" spans="2:5" ht="21.6" customHeight="1" x14ac:dyDescent="0.3">
      <c r="B19" s="285"/>
      <c r="C19" s="286"/>
      <c r="D19" s="108" t="s">
        <v>82</v>
      </c>
      <c r="E19" s="286"/>
    </row>
    <row r="20" spans="2:5" ht="21.6" customHeight="1" thickBot="1" x14ac:dyDescent="0.35">
      <c r="B20" s="285"/>
      <c r="C20" s="286"/>
      <c r="D20" s="109" t="s">
        <v>83</v>
      </c>
      <c r="E20" s="286"/>
    </row>
    <row r="21" spans="2:5" ht="21.6" customHeight="1" x14ac:dyDescent="0.3">
      <c r="B21" s="285" t="s">
        <v>139</v>
      </c>
      <c r="C21" s="286" t="s">
        <v>141</v>
      </c>
      <c r="D21" s="107" t="s">
        <v>81</v>
      </c>
      <c r="E21" s="286"/>
    </row>
    <row r="22" spans="2:5" ht="21.6" customHeight="1" x14ac:dyDescent="0.3">
      <c r="B22" s="285"/>
      <c r="C22" s="286"/>
      <c r="D22" s="108" t="s">
        <v>82</v>
      </c>
      <c r="E22" s="286"/>
    </row>
    <row r="23" spans="2:5" ht="21.6" customHeight="1" thickBot="1" x14ac:dyDescent="0.35">
      <c r="B23" s="285"/>
      <c r="C23" s="286"/>
      <c r="D23" s="109" t="s">
        <v>83</v>
      </c>
      <c r="E23" s="286"/>
    </row>
  </sheetData>
  <sheetProtection algorithmName="SHA-512" hashValue="G+6c+Jjjsq/RJIm7TqBc0yDr0+HyrWcOD1KO/2D+bmhY+0UvBtZkQCcWGqdN45itUhmxdKhhSKizpshf1jLSjg==" saltValue="AN6959TA+HakUi6/A8FrAA==" spinCount="100000" sheet="1" objects="1" scenarios="1" selectLockedCells="1" selectUnlockedCells="1"/>
  <mergeCells count="13">
    <mergeCell ref="B2:C2"/>
    <mergeCell ref="B18:B20"/>
    <mergeCell ref="B21:B23"/>
    <mergeCell ref="B10:B13"/>
    <mergeCell ref="E10:E17"/>
    <mergeCell ref="B14:B17"/>
    <mergeCell ref="E18:E23"/>
    <mergeCell ref="C18:C20"/>
    <mergeCell ref="C21:C23"/>
    <mergeCell ref="C4:C6"/>
    <mergeCell ref="C7:C9"/>
    <mergeCell ref="E4:E9"/>
    <mergeCell ref="B4:B9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0000"/>
  </sheetPr>
  <dimension ref="A1:P111"/>
  <sheetViews>
    <sheetView zoomScale="85" zoomScaleNormal="85" workbookViewId="0">
      <selection activeCell="H27" sqref="H27:M27"/>
    </sheetView>
  </sheetViews>
  <sheetFormatPr defaultColWidth="8.6640625" defaultRowHeight="14.4" x14ac:dyDescent="0.3"/>
  <cols>
    <col min="1" max="16" width="12.33203125" style="33" customWidth="1"/>
    <col min="17" max="16384" width="8.6640625" style="33"/>
  </cols>
  <sheetData>
    <row r="1" spans="1:12" ht="23.4" x14ac:dyDescent="0.45">
      <c r="A1" s="104" t="s">
        <v>189</v>
      </c>
      <c r="B1" s="164" t="s">
        <v>186</v>
      </c>
    </row>
    <row r="3" spans="1:12" x14ac:dyDescent="0.3">
      <c r="A3" s="195"/>
      <c r="B3" s="34" t="s">
        <v>147</v>
      </c>
      <c r="E3" s="195"/>
    </row>
    <row r="4" spans="1:12" x14ac:dyDescent="0.3">
      <c r="A4" s="195"/>
      <c r="B4" s="34" t="s">
        <v>148</v>
      </c>
      <c r="E4" s="195"/>
    </row>
    <row r="5" spans="1:12" x14ac:dyDescent="0.3">
      <c r="A5" s="195"/>
      <c r="B5" s="34" t="s">
        <v>149</v>
      </c>
      <c r="E5" s="195"/>
    </row>
    <row r="6" spans="1:12" s="101" customFormat="1" ht="21" x14ac:dyDescent="0.4">
      <c r="A6" s="196"/>
      <c r="B6" s="100" t="s">
        <v>106</v>
      </c>
      <c r="E6" s="196"/>
    </row>
    <row r="7" spans="1:12" s="103" customFormat="1" ht="43.5" customHeight="1" x14ac:dyDescent="0.4">
      <c r="A7" s="197"/>
      <c r="B7" s="104" t="s">
        <v>156</v>
      </c>
      <c r="E7" s="197"/>
    </row>
    <row r="8" spans="1:12" x14ac:dyDescent="0.3">
      <c r="B8" s="34" t="s">
        <v>188</v>
      </c>
      <c r="H8" s="195"/>
      <c r="I8" s="198" t="s">
        <v>53</v>
      </c>
      <c r="J8" s="195"/>
      <c r="K8" s="195"/>
      <c r="L8" s="195"/>
    </row>
    <row r="9" spans="1:12" ht="28.8" x14ac:dyDescent="0.3">
      <c r="A9" s="144"/>
      <c r="B9" s="157"/>
      <c r="C9" s="149" t="s">
        <v>9</v>
      </c>
      <c r="D9" s="149" t="s">
        <v>17</v>
      </c>
      <c r="E9" s="150" t="s">
        <v>33</v>
      </c>
      <c r="H9" s="144"/>
      <c r="I9" s="140"/>
      <c r="J9" s="149" t="s">
        <v>9</v>
      </c>
      <c r="K9" s="149" t="s">
        <v>17</v>
      </c>
      <c r="L9" s="150" t="s">
        <v>33</v>
      </c>
    </row>
    <row r="10" spans="1:12" x14ac:dyDescent="0.3">
      <c r="A10" s="145">
        <v>1</v>
      </c>
      <c r="B10" s="151" t="s">
        <v>157</v>
      </c>
      <c r="C10" s="152" t="e">
        <f t="shared" ref="C10:C27" si="0">IF(INDEX(Q3_Paeds,4+$A10,7)="No data",NA(),INDEX(Q3_Paeds,4+$A10,7))</f>
        <v>#N/A</v>
      </c>
      <c r="D10" s="152" t="e">
        <f t="shared" ref="D10:D27" si="1">IF(INDEX(Q3_Paeds,4+$A10,8)="No data",NA(),INDEX(Q3_Paeds,4+$A10,8))</f>
        <v>#N/A</v>
      </c>
      <c r="E10" s="153" t="e">
        <f t="shared" ref="E10:E27" si="2">MAX(C10:D10)</f>
        <v>#N/A</v>
      </c>
      <c r="H10" s="145">
        <v>1</v>
      </c>
      <c r="I10" s="151" t="s">
        <v>157</v>
      </c>
      <c r="J10" s="152" t="e">
        <f t="shared" ref="J10:J26" si="3">IF(INDEX(Q3_Adult,4+$H10,7)="No data",NA(),INDEX(Q3_Adult,4+$H10,7))</f>
        <v>#N/A</v>
      </c>
      <c r="K10" s="152" t="e">
        <f t="shared" ref="K10:K26" si="4">IF(INDEX(Q3_Adult,4+$H10,8)="No data",NA(),INDEX(Q3_Adult,4+$H10,8))</f>
        <v>#N/A</v>
      </c>
      <c r="L10" s="153" t="e">
        <f t="shared" ref="L10:L26" si="5">MAX(J10:K10)</f>
        <v>#N/A</v>
      </c>
    </row>
    <row r="11" spans="1:12" x14ac:dyDescent="0.3">
      <c r="A11" s="145">
        <v>2</v>
      </c>
      <c r="B11" s="151" t="s">
        <v>158</v>
      </c>
      <c r="C11" s="152" t="e">
        <f t="shared" si="0"/>
        <v>#N/A</v>
      </c>
      <c r="D11" s="152" t="e">
        <f t="shared" si="1"/>
        <v>#N/A</v>
      </c>
      <c r="E11" s="153" t="e">
        <f t="shared" si="2"/>
        <v>#N/A</v>
      </c>
      <c r="H11" s="145">
        <v>2</v>
      </c>
      <c r="I11" s="151" t="s">
        <v>158</v>
      </c>
      <c r="J11" s="152" t="e">
        <f t="shared" si="3"/>
        <v>#N/A</v>
      </c>
      <c r="K11" s="152" t="e">
        <f t="shared" si="4"/>
        <v>#N/A</v>
      </c>
      <c r="L11" s="153" t="e">
        <f t="shared" si="5"/>
        <v>#N/A</v>
      </c>
    </row>
    <row r="12" spans="1:12" x14ac:dyDescent="0.3">
      <c r="A12" s="145">
        <v>3</v>
      </c>
      <c r="B12" s="151" t="s">
        <v>159</v>
      </c>
      <c r="C12" s="152" t="e">
        <f t="shared" si="0"/>
        <v>#N/A</v>
      </c>
      <c r="D12" s="152" t="e">
        <f t="shared" si="1"/>
        <v>#N/A</v>
      </c>
      <c r="E12" s="153" t="e">
        <f t="shared" si="2"/>
        <v>#N/A</v>
      </c>
      <c r="H12" s="145">
        <v>3</v>
      </c>
      <c r="I12" s="151" t="s">
        <v>159</v>
      </c>
      <c r="J12" s="152" t="e">
        <f t="shared" si="3"/>
        <v>#N/A</v>
      </c>
      <c r="K12" s="152" t="e">
        <f t="shared" si="4"/>
        <v>#N/A</v>
      </c>
      <c r="L12" s="153" t="e">
        <f t="shared" si="5"/>
        <v>#N/A</v>
      </c>
    </row>
    <row r="13" spans="1:12" x14ac:dyDescent="0.3">
      <c r="A13" s="145">
        <v>4</v>
      </c>
      <c r="B13" s="151" t="s">
        <v>160</v>
      </c>
      <c r="C13" s="152" t="e">
        <f t="shared" si="0"/>
        <v>#N/A</v>
      </c>
      <c r="D13" s="152" t="e">
        <f t="shared" si="1"/>
        <v>#N/A</v>
      </c>
      <c r="E13" s="153" t="e">
        <f t="shared" si="2"/>
        <v>#N/A</v>
      </c>
      <c r="H13" s="145">
        <v>4</v>
      </c>
      <c r="I13" s="151" t="s">
        <v>160</v>
      </c>
      <c r="J13" s="152" t="e">
        <f t="shared" si="3"/>
        <v>#N/A</v>
      </c>
      <c r="K13" s="152" t="e">
        <f t="shared" si="4"/>
        <v>#N/A</v>
      </c>
      <c r="L13" s="153" t="e">
        <f t="shared" si="5"/>
        <v>#N/A</v>
      </c>
    </row>
    <row r="14" spans="1:12" x14ac:dyDescent="0.3">
      <c r="A14" s="145">
        <v>5</v>
      </c>
      <c r="B14" s="151" t="s">
        <v>161</v>
      </c>
      <c r="C14" s="152" t="e">
        <f t="shared" si="0"/>
        <v>#N/A</v>
      </c>
      <c r="D14" s="152" t="e">
        <f t="shared" si="1"/>
        <v>#N/A</v>
      </c>
      <c r="E14" s="153" t="e">
        <f t="shared" si="2"/>
        <v>#N/A</v>
      </c>
      <c r="H14" s="145">
        <v>5</v>
      </c>
      <c r="I14" s="151" t="s">
        <v>161</v>
      </c>
      <c r="J14" s="152" t="e">
        <f t="shared" si="3"/>
        <v>#N/A</v>
      </c>
      <c r="K14" s="152" t="e">
        <f t="shared" si="4"/>
        <v>#N/A</v>
      </c>
      <c r="L14" s="153" t="e">
        <f t="shared" si="5"/>
        <v>#N/A</v>
      </c>
    </row>
    <row r="15" spans="1:12" x14ac:dyDescent="0.3">
      <c r="A15" s="145">
        <v>6</v>
      </c>
      <c r="B15" s="151" t="s">
        <v>165</v>
      </c>
      <c r="C15" s="152" t="e">
        <f t="shared" si="0"/>
        <v>#N/A</v>
      </c>
      <c r="D15" s="152" t="e">
        <f t="shared" si="1"/>
        <v>#N/A</v>
      </c>
      <c r="E15" s="153" t="e">
        <f t="shared" si="2"/>
        <v>#N/A</v>
      </c>
      <c r="H15" s="145">
        <v>6</v>
      </c>
      <c r="I15" s="151" t="s">
        <v>165</v>
      </c>
      <c r="J15" s="152" t="e">
        <f t="shared" si="3"/>
        <v>#N/A</v>
      </c>
      <c r="K15" s="152" t="e">
        <f t="shared" si="4"/>
        <v>#N/A</v>
      </c>
      <c r="L15" s="153" t="e">
        <f t="shared" si="5"/>
        <v>#N/A</v>
      </c>
    </row>
    <row r="16" spans="1:12" x14ac:dyDescent="0.3">
      <c r="A16" s="145">
        <v>7</v>
      </c>
      <c r="B16" s="151" t="s">
        <v>166</v>
      </c>
      <c r="C16" s="152" t="e">
        <f t="shared" si="0"/>
        <v>#N/A</v>
      </c>
      <c r="D16" s="152" t="e">
        <f t="shared" si="1"/>
        <v>#N/A</v>
      </c>
      <c r="E16" s="153" t="e">
        <f t="shared" si="2"/>
        <v>#N/A</v>
      </c>
      <c r="H16" s="145">
        <v>7</v>
      </c>
      <c r="I16" s="151" t="s">
        <v>166</v>
      </c>
      <c r="J16" s="152" t="e">
        <f t="shared" si="3"/>
        <v>#N/A</v>
      </c>
      <c r="K16" s="152" t="e">
        <f t="shared" si="4"/>
        <v>#N/A</v>
      </c>
      <c r="L16" s="153" t="e">
        <f t="shared" si="5"/>
        <v>#N/A</v>
      </c>
    </row>
    <row r="17" spans="1:16" x14ac:dyDescent="0.3">
      <c r="A17" s="145">
        <v>8</v>
      </c>
      <c r="B17" s="151" t="s">
        <v>162</v>
      </c>
      <c r="C17" s="152" t="e">
        <f t="shared" si="0"/>
        <v>#N/A</v>
      </c>
      <c r="D17" s="152" t="e">
        <f t="shared" si="1"/>
        <v>#N/A</v>
      </c>
      <c r="E17" s="153" t="e">
        <f t="shared" si="2"/>
        <v>#N/A</v>
      </c>
      <c r="H17" s="145">
        <v>8</v>
      </c>
      <c r="I17" s="151" t="s">
        <v>162</v>
      </c>
      <c r="J17" s="152" t="e">
        <f t="shared" si="3"/>
        <v>#N/A</v>
      </c>
      <c r="K17" s="152" t="e">
        <f t="shared" si="4"/>
        <v>#N/A</v>
      </c>
      <c r="L17" s="153" t="e">
        <f t="shared" si="5"/>
        <v>#N/A</v>
      </c>
    </row>
    <row r="18" spans="1:16" x14ac:dyDescent="0.3">
      <c r="A18" s="145">
        <v>9</v>
      </c>
      <c r="B18" s="151" t="s">
        <v>58</v>
      </c>
      <c r="C18" s="152" t="e">
        <f t="shared" si="0"/>
        <v>#N/A</v>
      </c>
      <c r="D18" s="152" t="e">
        <f t="shared" si="1"/>
        <v>#N/A</v>
      </c>
      <c r="E18" s="153" t="e">
        <f t="shared" si="2"/>
        <v>#N/A</v>
      </c>
      <c r="H18" s="145">
        <v>9</v>
      </c>
      <c r="I18" s="151" t="s">
        <v>58</v>
      </c>
      <c r="J18" s="152" t="e">
        <f t="shared" si="3"/>
        <v>#N/A</v>
      </c>
      <c r="K18" s="152" t="e">
        <f t="shared" si="4"/>
        <v>#N/A</v>
      </c>
      <c r="L18" s="153" t="e">
        <f t="shared" si="5"/>
        <v>#N/A</v>
      </c>
    </row>
    <row r="19" spans="1:16" x14ac:dyDescent="0.3">
      <c r="A19" s="145">
        <v>10</v>
      </c>
      <c r="B19" s="151" t="s">
        <v>59</v>
      </c>
      <c r="C19" s="152" t="e">
        <f t="shared" si="0"/>
        <v>#N/A</v>
      </c>
      <c r="D19" s="152" t="e">
        <f t="shared" si="1"/>
        <v>#N/A</v>
      </c>
      <c r="E19" s="153" t="e">
        <f t="shared" si="2"/>
        <v>#N/A</v>
      </c>
      <c r="H19" s="145">
        <v>10</v>
      </c>
      <c r="I19" s="151" t="s">
        <v>164</v>
      </c>
      <c r="J19" s="152" t="e">
        <f t="shared" si="3"/>
        <v>#N/A</v>
      </c>
      <c r="K19" s="152" t="e">
        <f t="shared" si="4"/>
        <v>#N/A</v>
      </c>
      <c r="L19" s="153" t="e">
        <f t="shared" si="5"/>
        <v>#N/A</v>
      </c>
    </row>
    <row r="20" spans="1:16" x14ac:dyDescent="0.3">
      <c r="A20" s="145">
        <v>11</v>
      </c>
      <c r="B20" s="151" t="s">
        <v>164</v>
      </c>
      <c r="C20" s="152" t="e">
        <f t="shared" si="0"/>
        <v>#N/A</v>
      </c>
      <c r="D20" s="152" t="e">
        <f t="shared" si="1"/>
        <v>#N/A</v>
      </c>
      <c r="E20" s="153" t="e">
        <f t="shared" si="2"/>
        <v>#N/A</v>
      </c>
      <c r="H20" s="145">
        <v>11</v>
      </c>
      <c r="I20" s="151" t="s">
        <v>60</v>
      </c>
      <c r="J20" s="152" t="e">
        <f t="shared" si="3"/>
        <v>#N/A</v>
      </c>
      <c r="K20" s="152" t="e">
        <f t="shared" si="4"/>
        <v>#N/A</v>
      </c>
      <c r="L20" s="153" t="e">
        <f t="shared" si="5"/>
        <v>#N/A</v>
      </c>
    </row>
    <row r="21" spans="1:16" x14ac:dyDescent="0.3">
      <c r="A21" s="145">
        <v>12</v>
      </c>
      <c r="B21" s="151" t="s">
        <v>60</v>
      </c>
      <c r="C21" s="152" t="e">
        <f t="shared" si="0"/>
        <v>#N/A</v>
      </c>
      <c r="D21" s="152" t="e">
        <f t="shared" si="1"/>
        <v>#N/A</v>
      </c>
      <c r="E21" s="153" t="e">
        <f t="shared" si="2"/>
        <v>#N/A</v>
      </c>
      <c r="H21" s="145">
        <v>12</v>
      </c>
      <c r="I21" s="151" t="s">
        <v>56</v>
      </c>
      <c r="J21" s="152" t="e">
        <f t="shared" si="3"/>
        <v>#N/A</v>
      </c>
      <c r="K21" s="152" t="e">
        <f t="shared" si="4"/>
        <v>#N/A</v>
      </c>
      <c r="L21" s="153" t="e">
        <f t="shared" si="5"/>
        <v>#N/A</v>
      </c>
      <c r="P21" s="33" t="s">
        <v>55</v>
      </c>
    </row>
    <row r="22" spans="1:16" x14ac:dyDescent="0.3">
      <c r="A22" s="145">
        <v>13</v>
      </c>
      <c r="B22" s="151" t="s">
        <v>56</v>
      </c>
      <c r="C22" s="152" t="e">
        <f t="shared" si="0"/>
        <v>#N/A</v>
      </c>
      <c r="D22" s="152" t="e">
        <f t="shared" si="1"/>
        <v>#N/A</v>
      </c>
      <c r="E22" s="153" t="e">
        <f t="shared" si="2"/>
        <v>#N/A</v>
      </c>
      <c r="H22" s="145">
        <v>13</v>
      </c>
      <c r="I22" s="151" t="s">
        <v>61</v>
      </c>
      <c r="J22" s="152" t="e">
        <f t="shared" si="3"/>
        <v>#N/A</v>
      </c>
      <c r="K22" s="152" t="e">
        <f t="shared" si="4"/>
        <v>#N/A</v>
      </c>
      <c r="L22" s="153" t="e">
        <f t="shared" si="5"/>
        <v>#N/A</v>
      </c>
    </row>
    <row r="23" spans="1:16" x14ac:dyDescent="0.3">
      <c r="A23" s="145">
        <v>14</v>
      </c>
      <c r="B23" s="151" t="s">
        <v>61</v>
      </c>
      <c r="C23" s="152" t="e">
        <f t="shared" si="0"/>
        <v>#N/A</v>
      </c>
      <c r="D23" s="152" t="e">
        <f t="shared" si="1"/>
        <v>#N/A</v>
      </c>
      <c r="E23" s="153" t="e">
        <f t="shared" si="2"/>
        <v>#N/A</v>
      </c>
      <c r="H23" s="145">
        <v>14</v>
      </c>
      <c r="I23" s="151" t="s">
        <v>52</v>
      </c>
      <c r="J23" s="152" t="e">
        <f t="shared" si="3"/>
        <v>#N/A</v>
      </c>
      <c r="K23" s="152" t="e">
        <f t="shared" si="4"/>
        <v>#N/A</v>
      </c>
      <c r="L23" s="153" t="e">
        <f t="shared" si="5"/>
        <v>#N/A</v>
      </c>
    </row>
    <row r="24" spans="1:16" x14ac:dyDescent="0.3">
      <c r="A24" s="145">
        <v>15</v>
      </c>
      <c r="B24" s="151" t="s">
        <v>52</v>
      </c>
      <c r="C24" s="152" t="e">
        <f t="shared" si="0"/>
        <v>#N/A</v>
      </c>
      <c r="D24" s="152" t="e">
        <f t="shared" si="1"/>
        <v>#N/A</v>
      </c>
      <c r="E24" s="153" t="e">
        <f t="shared" si="2"/>
        <v>#N/A</v>
      </c>
      <c r="H24" s="145">
        <v>15</v>
      </c>
      <c r="I24" s="151" t="s">
        <v>57</v>
      </c>
      <c r="J24" s="152" t="e">
        <f t="shared" si="3"/>
        <v>#N/A</v>
      </c>
      <c r="K24" s="152" t="e">
        <f t="shared" si="4"/>
        <v>#N/A</v>
      </c>
      <c r="L24" s="153" t="e">
        <f t="shared" si="5"/>
        <v>#N/A</v>
      </c>
    </row>
    <row r="25" spans="1:16" x14ac:dyDescent="0.3">
      <c r="A25" s="145">
        <v>16</v>
      </c>
      <c r="B25" s="151" t="s">
        <v>57</v>
      </c>
      <c r="C25" s="152" t="e">
        <f t="shared" si="0"/>
        <v>#N/A</v>
      </c>
      <c r="D25" s="152" t="e">
        <f t="shared" si="1"/>
        <v>#N/A</v>
      </c>
      <c r="E25" s="153" t="e">
        <f t="shared" si="2"/>
        <v>#N/A</v>
      </c>
      <c r="H25" s="145">
        <v>16</v>
      </c>
      <c r="I25" s="151" t="s">
        <v>54</v>
      </c>
      <c r="J25" s="152" t="e">
        <f t="shared" si="3"/>
        <v>#N/A</v>
      </c>
      <c r="K25" s="152" t="e">
        <f t="shared" si="4"/>
        <v>#N/A</v>
      </c>
      <c r="L25" s="153" t="e">
        <f t="shared" si="5"/>
        <v>#N/A</v>
      </c>
    </row>
    <row r="26" spans="1:16" x14ac:dyDescent="0.3">
      <c r="A26" s="145">
        <v>17</v>
      </c>
      <c r="B26" s="151" t="s">
        <v>54</v>
      </c>
      <c r="C26" s="152" t="e">
        <f t="shared" si="0"/>
        <v>#N/A</v>
      </c>
      <c r="D26" s="152" t="e">
        <f t="shared" si="1"/>
        <v>#N/A</v>
      </c>
      <c r="E26" s="153" t="e">
        <f t="shared" si="2"/>
        <v>#N/A</v>
      </c>
      <c r="H26" s="146">
        <v>17</v>
      </c>
      <c r="I26" s="154" t="s">
        <v>62</v>
      </c>
      <c r="J26" s="152" t="e">
        <f t="shared" si="3"/>
        <v>#N/A</v>
      </c>
      <c r="K26" s="152" t="e">
        <f t="shared" si="4"/>
        <v>#N/A</v>
      </c>
      <c r="L26" s="153" t="e">
        <f t="shared" si="5"/>
        <v>#N/A</v>
      </c>
    </row>
    <row r="27" spans="1:16" x14ac:dyDescent="0.3">
      <c r="A27" s="146">
        <v>18</v>
      </c>
      <c r="B27" s="154" t="s">
        <v>62</v>
      </c>
      <c r="C27" s="155" t="e">
        <f t="shared" si="0"/>
        <v>#N/A</v>
      </c>
      <c r="D27" s="155" t="e">
        <f t="shared" si="1"/>
        <v>#N/A</v>
      </c>
      <c r="E27" s="156" t="e">
        <f t="shared" si="2"/>
        <v>#N/A</v>
      </c>
    </row>
    <row r="31" spans="1:16" s="102" customFormat="1" ht="18" x14ac:dyDescent="0.35">
      <c r="B31" s="102" t="s">
        <v>107</v>
      </c>
    </row>
    <row r="32" spans="1:16" s="103" customFormat="1" ht="43.5" customHeight="1" x14ac:dyDescent="0.4">
      <c r="B32" s="104" t="s">
        <v>156</v>
      </c>
    </row>
    <row r="33" spans="1:13" x14ac:dyDescent="0.3">
      <c r="B33" s="45"/>
      <c r="C33" s="231"/>
      <c r="D33" s="45"/>
      <c r="E33" s="45"/>
      <c r="F33" s="45"/>
      <c r="G33" s="45"/>
      <c r="H33" s="45"/>
      <c r="I33" s="45"/>
      <c r="J33" s="45"/>
      <c r="K33" s="45"/>
      <c r="L33" s="45"/>
      <c r="M33" s="45"/>
    </row>
    <row r="34" spans="1:13" ht="15" customHeight="1" x14ac:dyDescent="0.3">
      <c r="A34" s="41"/>
      <c r="B34" s="136" t="s">
        <v>72</v>
      </c>
      <c r="C34" s="41"/>
      <c r="D34" s="41"/>
      <c r="E34" s="41"/>
      <c r="F34" s="136"/>
      <c r="G34" s="136"/>
      <c r="H34" s="45"/>
      <c r="I34" s="136" t="s">
        <v>70</v>
      </c>
      <c r="J34" s="138"/>
      <c r="K34" s="139"/>
      <c r="L34" s="139"/>
      <c r="M34" s="139"/>
    </row>
    <row r="35" spans="1:13" x14ac:dyDescent="0.3">
      <c r="A35" s="144"/>
      <c r="B35" s="140"/>
      <c r="C35" s="140" t="s">
        <v>93</v>
      </c>
      <c r="D35" s="140" t="s">
        <v>94</v>
      </c>
      <c r="E35" s="140" t="s">
        <v>36</v>
      </c>
      <c r="F35" s="141" t="s">
        <v>185</v>
      </c>
      <c r="G35" s="136"/>
      <c r="H35" s="144"/>
      <c r="I35" s="140"/>
      <c r="J35" s="140" t="s">
        <v>93</v>
      </c>
      <c r="K35" s="140" t="s">
        <v>94</v>
      </c>
      <c r="L35" s="140" t="s">
        <v>36</v>
      </c>
      <c r="M35" s="141" t="s">
        <v>185</v>
      </c>
    </row>
    <row r="36" spans="1:13" x14ac:dyDescent="0.3">
      <c r="A36" s="145">
        <v>1</v>
      </c>
      <c r="B36" s="151" t="s">
        <v>157</v>
      </c>
      <c r="C36" s="152" t="e">
        <f t="shared" ref="C36:C53" si="6">IF(INDEX(Q3_Paeds,4+$A36,10)="No data",NA(),INDEX(Q3_Paeds,4+$A36,10))</f>
        <v>#N/A</v>
      </c>
      <c r="D36" s="152" t="e">
        <f t="shared" ref="D36:D53" si="7">IF(INDEX(Q3_Paeds,4+$A36,11)="No data",NA(),INDEX(Q3_Paeds,4+$A36,11))</f>
        <v>#N/A</v>
      </c>
      <c r="E36" s="152" t="e">
        <f t="shared" ref="E36:E53" si="8">IF(INDEX(Q3_Paeds,4+$A36,12)="No data",NA(),INDEX(Q3_Paeds,4+$A36,12))</f>
        <v>#N/A</v>
      </c>
      <c r="F36" s="142" t="e">
        <f t="shared" ref="F36:F53" si="9">SUM(C36:E36)</f>
        <v>#N/A</v>
      </c>
      <c r="G36" s="137"/>
      <c r="H36" s="145">
        <v>1</v>
      </c>
      <c r="I36" s="151" t="s">
        <v>157</v>
      </c>
      <c r="J36" s="152" t="e">
        <f t="shared" ref="J36:J52" si="10">IF(INDEX(Q3_Adult,4+$H36,10)="No data",NA(),INDEX(Q3_Adult,4+$H36,10))</f>
        <v>#N/A</v>
      </c>
      <c r="K36" s="152" t="e">
        <f t="shared" ref="K36:K52" si="11">IF(INDEX(Q3_Adult,4+$H36,11)="No data",NA(),INDEX(Q3_Adult,4+$H36,11))</f>
        <v>#N/A</v>
      </c>
      <c r="L36" s="152" t="e">
        <f t="shared" ref="L36:L52" si="12">IF(INDEX(Q3_Adult,4+$H36,12)="No data",NA(),INDEX(Q3_Adult,4+$H36,12))</f>
        <v>#N/A</v>
      </c>
      <c r="M36" s="142" t="e">
        <f t="shared" ref="M36:M52" si="13">SUM(J36:L36)</f>
        <v>#N/A</v>
      </c>
    </row>
    <row r="37" spans="1:13" x14ac:dyDescent="0.3">
      <c r="A37" s="145">
        <v>2</v>
      </c>
      <c r="B37" s="151" t="s">
        <v>158</v>
      </c>
      <c r="C37" s="152" t="e">
        <f t="shared" si="6"/>
        <v>#N/A</v>
      </c>
      <c r="D37" s="152" t="e">
        <f t="shared" si="7"/>
        <v>#N/A</v>
      </c>
      <c r="E37" s="152" t="e">
        <f t="shared" si="8"/>
        <v>#N/A</v>
      </c>
      <c r="F37" s="142" t="e">
        <f t="shared" si="9"/>
        <v>#N/A</v>
      </c>
      <c r="G37" s="137"/>
      <c r="H37" s="145">
        <v>2</v>
      </c>
      <c r="I37" s="151" t="s">
        <v>158</v>
      </c>
      <c r="J37" s="152" t="e">
        <f t="shared" si="10"/>
        <v>#N/A</v>
      </c>
      <c r="K37" s="152" t="e">
        <f t="shared" si="11"/>
        <v>#N/A</v>
      </c>
      <c r="L37" s="152" t="e">
        <f t="shared" si="12"/>
        <v>#N/A</v>
      </c>
      <c r="M37" s="142" t="e">
        <f t="shared" si="13"/>
        <v>#N/A</v>
      </c>
    </row>
    <row r="38" spans="1:13" x14ac:dyDescent="0.3">
      <c r="A38" s="145">
        <v>3</v>
      </c>
      <c r="B38" s="151" t="s">
        <v>159</v>
      </c>
      <c r="C38" s="152" t="e">
        <f t="shared" si="6"/>
        <v>#N/A</v>
      </c>
      <c r="D38" s="152" t="e">
        <f t="shared" si="7"/>
        <v>#N/A</v>
      </c>
      <c r="E38" s="152" t="e">
        <f t="shared" si="8"/>
        <v>#N/A</v>
      </c>
      <c r="F38" s="142" t="e">
        <f t="shared" si="9"/>
        <v>#N/A</v>
      </c>
      <c r="G38" s="137"/>
      <c r="H38" s="145">
        <v>3</v>
      </c>
      <c r="I38" s="151" t="s">
        <v>159</v>
      </c>
      <c r="J38" s="152" t="e">
        <f t="shared" si="10"/>
        <v>#N/A</v>
      </c>
      <c r="K38" s="152" t="e">
        <f t="shared" si="11"/>
        <v>#N/A</v>
      </c>
      <c r="L38" s="152" t="e">
        <f t="shared" si="12"/>
        <v>#N/A</v>
      </c>
      <c r="M38" s="142" t="e">
        <f t="shared" si="13"/>
        <v>#N/A</v>
      </c>
    </row>
    <row r="39" spans="1:13" x14ac:dyDescent="0.3">
      <c r="A39" s="145">
        <v>4</v>
      </c>
      <c r="B39" s="151" t="s">
        <v>160</v>
      </c>
      <c r="C39" s="152" t="e">
        <f t="shared" si="6"/>
        <v>#N/A</v>
      </c>
      <c r="D39" s="152" t="e">
        <f t="shared" si="7"/>
        <v>#N/A</v>
      </c>
      <c r="E39" s="152" t="e">
        <f t="shared" si="8"/>
        <v>#N/A</v>
      </c>
      <c r="F39" s="142" t="e">
        <f t="shared" si="9"/>
        <v>#N/A</v>
      </c>
      <c r="G39" s="137"/>
      <c r="H39" s="145">
        <v>4</v>
      </c>
      <c r="I39" s="151" t="s">
        <v>160</v>
      </c>
      <c r="J39" s="152" t="e">
        <f t="shared" si="10"/>
        <v>#N/A</v>
      </c>
      <c r="K39" s="152" t="e">
        <f t="shared" si="11"/>
        <v>#N/A</v>
      </c>
      <c r="L39" s="152" t="e">
        <f t="shared" si="12"/>
        <v>#N/A</v>
      </c>
      <c r="M39" s="142" t="e">
        <f t="shared" si="13"/>
        <v>#N/A</v>
      </c>
    </row>
    <row r="40" spans="1:13" x14ac:dyDescent="0.3">
      <c r="A40" s="145">
        <v>5</v>
      </c>
      <c r="B40" s="151" t="s">
        <v>161</v>
      </c>
      <c r="C40" s="152" t="e">
        <f t="shared" si="6"/>
        <v>#N/A</v>
      </c>
      <c r="D40" s="152" t="e">
        <f t="shared" si="7"/>
        <v>#N/A</v>
      </c>
      <c r="E40" s="152" t="e">
        <f t="shared" si="8"/>
        <v>#N/A</v>
      </c>
      <c r="F40" s="142" t="e">
        <f t="shared" si="9"/>
        <v>#N/A</v>
      </c>
      <c r="G40" s="137"/>
      <c r="H40" s="145">
        <v>5</v>
      </c>
      <c r="I40" s="151" t="s">
        <v>161</v>
      </c>
      <c r="J40" s="152" t="e">
        <f t="shared" si="10"/>
        <v>#N/A</v>
      </c>
      <c r="K40" s="152" t="e">
        <f t="shared" si="11"/>
        <v>#N/A</v>
      </c>
      <c r="L40" s="152" t="e">
        <f t="shared" si="12"/>
        <v>#N/A</v>
      </c>
      <c r="M40" s="142" t="e">
        <f t="shared" si="13"/>
        <v>#N/A</v>
      </c>
    </row>
    <row r="41" spans="1:13" x14ac:dyDescent="0.3">
      <c r="A41" s="145">
        <v>6</v>
      </c>
      <c r="B41" s="151" t="s">
        <v>165</v>
      </c>
      <c r="C41" s="152" t="e">
        <f t="shared" si="6"/>
        <v>#N/A</v>
      </c>
      <c r="D41" s="152" t="e">
        <f t="shared" si="7"/>
        <v>#N/A</v>
      </c>
      <c r="E41" s="152" t="e">
        <f t="shared" si="8"/>
        <v>#N/A</v>
      </c>
      <c r="F41" s="142" t="e">
        <f t="shared" si="9"/>
        <v>#N/A</v>
      </c>
      <c r="G41" s="137"/>
      <c r="H41" s="145">
        <v>6</v>
      </c>
      <c r="I41" s="151" t="s">
        <v>165</v>
      </c>
      <c r="J41" s="152" t="e">
        <f t="shared" si="10"/>
        <v>#N/A</v>
      </c>
      <c r="K41" s="152" t="e">
        <f t="shared" si="11"/>
        <v>#N/A</v>
      </c>
      <c r="L41" s="152" t="e">
        <f t="shared" si="12"/>
        <v>#N/A</v>
      </c>
      <c r="M41" s="142" t="e">
        <f t="shared" si="13"/>
        <v>#N/A</v>
      </c>
    </row>
    <row r="42" spans="1:13" x14ac:dyDescent="0.3">
      <c r="A42" s="145">
        <v>7</v>
      </c>
      <c r="B42" s="151" t="s">
        <v>166</v>
      </c>
      <c r="C42" s="152" t="e">
        <f t="shared" si="6"/>
        <v>#N/A</v>
      </c>
      <c r="D42" s="152" t="e">
        <f t="shared" si="7"/>
        <v>#N/A</v>
      </c>
      <c r="E42" s="152" t="e">
        <f t="shared" si="8"/>
        <v>#N/A</v>
      </c>
      <c r="F42" s="142" t="e">
        <f t="shared" si="9"/>
        <v>#N/A</v>
      </c>
      <c r="G42" s="137"/>
      <c r="H42" s="145">
        <v>7</v>
      </c>
      <c r="I42" s="151" t="s">
        <v>166</v>
      </c>
      <c r="J42" s="152" t="e">
        <f t="shared" si="10"/>
        <v>#N/A</v>
      </c>
      <c r="K42" s="152" t="e">
        <f t="shared" si="11"/>
        <v>#N/A</v>
      </c>
      <c r="L42" s="152" t="e">
        <f t="shared" si="12"/>
        <v>#N/A</v>
      </c>
      <c r="M42" s="142" t="e">
        <f t="shared" si="13"/>
        <v>#N/A</v>
      </c>
    </row>
    <row r="43" spans="1:13" x14ac:dyDescent="0.3">
      <c r="A43" s="145">
        <v>8</v>
      </c>
      <c r="B43" s="151" t="s">
        <v>162</v>
      </c>
      <c r="C43" s="152" t="e">
        <f t="shared" si="6"/>
        <v>#N/A</v>
      </c>
      <c r="D43" s="152" t="e">
        <f t="shared" si="7"/>
        <v>#N/A</v>
      </c>
      <c r="E43" s="152" t="e">
        <f t="shared" si="8"/>
        <v>#N/A</v>
      </c>
      <c r="F43" s="142" t="e">
        <f t="shared" si="9"/>
        <v>#N/A</v>
      </c>
      <c r="G43" s="137"/>
      <c r="H43" s="145">
        <v>8</v>
      </c>
      <c r="I43" s="151" t="s">
        <v>162</v>
      </c>
      <c r="J43" s="152" t="e">
        <f t="shared" si="10"/>
        <v>#N/A</v>
      </c>
      <c r="K43" s="152" t="e">
        <f t="shared" si="11"/>
        <v>#N/A</v>
      </c>
      <c r="L43" s="152" t="e">
        <f t="shared" si="12"/>
        <v>#N/A</v>
      </c>
      <c r="M43" s="142" t="e">
        <f t="shared" si="13"/>
        <v>#N/A</v>
      </c>
    </row>
    <row r="44" spans="1:13" x14ac:dyDescent="0.3">
      <c r="A44" s="145">
        <v>9</v>
      </c>
      <c r="B44" s="151" t="s">
        <v>58</v>
      </c>
      <c r="C44" s="152" t="e">
        <f t="shared" si="6"/>
        <v>#N/A</v>
      </c>
      <c r="D44" s="152" t="e">
        <f t="shared" si="7"/>
        <v>#N/A</v>
      </c>
      <c r="E44" s="152" t="e">
        <f t="shared" si="8"/>
        <v>#N/A</v>
      </c>
      <c r="F44" s="142" t="e">
        <f t="shared" si="9"/>
        <v>#N/A</v>
      </c>
      <c r="G44" s="137"/>
      <c r="H44" s="145">
        <v>9</v>
      </c>
      <c r="I44" s="151" t="s">
        <v>58</v>
      </c>
      <c r="J44" s="152" t="e">
        <f t="shared" si="10"/>
        <v>#N/A</v>
      </c>
      <c r="K44" s="152" t="e">
        <f t="shared" si="11"/>
        <v>#N/A</v>
      </c>
      <c r="L44" s="152" t="e">
        <f t="shared" si="12"/>
        <v>#N/A</v>
      </c>
      <c r="M44" s="142" t="e">
        <f t="shared" si="13"/>
        <v>#N/A</v>
      </c>
    </row>
    <row r="45" spans="1:13" x14ac:dyDescent="0.3">
      <c r="A45" s="145">
        <v>10</v>
      </c>
      <c r="B45" s="151" t="s">
        <v>59</v>
      </c>
      <c r="C45" s="152" t="e">
        <f t="shared" si="6"/>
        <v>#N/A</v>
      </c>
      <c r="D45" s="152" t="e">
        <f t="shared" si="7"/>
        <v>#N/A</v>
      </c>
      <c r="E45" s="152" t="e">
        <f t="shared" si="8"/>
        <v>#N/A</v>
      </c>
      <c r="F45" s="142" t="e">
        <f t="shared" si="9"/>
        <v>#N/A</v>
      </c>
      <c r="G45" s="137"/>
      <c r="H45" s="145">
        <v>10</v>
      </c>
      <c r="I45" s="151" t="s">
        <v>164</v>
      </c>
      <c r="J45" s="152" t="e">
        <f t="shared" si="10"/>
        <v>#N/A</v>
      </c>
      <c r="K45" s="152" t="e">
        <f t="shared" si="11"/>
        <v>#N/A</v>
      </c>
      <c r="L45" s="152" t="e">
        <f t="shared" si="12"/>
        <v>#N/A</v>
      </c>
      <c r="M45" s="142" t="e">
        <f t="shared" si="13"/>
        <v>#N/A</v>
      </c>
    </row>
    <row r="46" spans="1:13" x14ac:dyDescent="0.3">
      <c r="A46" s="145">
        <v>11</v>
      </c>
      <c r="B46" s="151" t="s">
        <v>164</v>
      </c>
      <c r="C46" s="152" t="e">
        <f t="shared" si="6"/>
        <v>#N/A</v>
      </c>
      <c r="D46" s="152" t="e">
        <f t="shared" si="7"/>
        <v>#N/A</v>
      </c>
      <c r="E46" s="152" t="e">
        <f t="shared" si="8"/>
        <v>#N/A</v>
      </c>
      <c r="F46" s="142" t="e">
        <f t="shared" si="9"/>
        <v>#N/A</v>
      </c>
      <c r="G46" s="137"/>
      <c r="H46" s="145">
        <v>11</v>
      </c>
      <c r="I46" s="151" t="s">
        <v>60</v>
      </c>
      <c r="J46" s="152" t="e">
        <f t="shared" si="10"/>
        <v>#N/A</v>
      </c>
      <c r="K46" s="152" t="e">
        <f t="shared" si="11"/>
        <v>#N/A</v>
      </c>
      <c r="L46" s="152" t="e">
        <f t="shared" si="12"/>
        <v>#N/A</v>
      </c>
      <c r="M46" s="142" t="e">
        <f t="shared" si="13"/>
        <v>#N/A</v>
      </c>
    </row>
    <row r="47" spans="1:13" x14ac:dyDescent="0.3">
      <c r="A47" s="145">
        <v>12</v>
      </c>
      <c r="B47" s="151" t="s">
        <v>60</v>
      </c>
      <c r="C47" s="152" t="e">
        <f t="shared" si="6"/>
        <v>#N/A</v>
      </c>
      <c r="D47" s="152" t="e">
        <f t="shared" si="7"/>
        <v>#N/A</v>
      </c>
      <c r="E47" s="152" t="e">
        <f t="shared" si="8"/>
        <v>#N/A</v>
      </c>
      <c r="F47" s="142" t="e">
        <f t="shared" si="9"/>
        <v>#N/A</v>
      </c>
      <c r="G47" s="137"/>
      <c r="H47" s="145">
        <v>12</v>
      </c>
      <c r="I47" s="151" t="s">
        <v>56</v>
      </c>
      <c r="J47" s="152" t="e">
        <f t="shared" si="10"/>
        <v>#N/A</v>
      </c>
      <c r="K47" s="152" t="e">
        <f t="shared" si="11"/>
        <v>#N/A</v>
      </c>
      <c r="L47" s="152" t="e">
        <f t="shared" si="12"/>
        <v>#N/A</v>
      </c>
      <c r="M47" s="142" t="e">
        <f t="shared" si="13"/>
        <v>#N/A</v>
      </c>
    </row>
    <row r="48" spans="1:13" x14ac:dyDescent="0.3">
      <c r="A48" s="145">
        <v>13</v>
      </c>
      <c r="B48" s="151" t="s">
        <v>56</v>
      </c>
      <c r="C48" s="152" t="e">
        <f t="shared" si="6"/>
        <v>#N/A</v>
      </c>
      <c r="D48" s="152" t="e">
        <f t="shared" si="7"/>
        <v>#N/A</v>
      </c>
      <c r="E48" s="152" t="e">
        <f t="shared" si="8"/>
        <v>#N/A</v>
      </c>
      <c r="F48" s="142" t="e">
        <f t="shared" si="9"/>
        <v>#N/A</v>
      </c>
      <c r="G48" s="137"/>
      <c r="H48" s="145">
        <v>13</v>
      </c>
      <c r="I48" s="151" t="s">
        <v>61</v>
      </c>
      <c r="J48" s="152" t="e">
        <f t="shared" si="10"/>
        <v>#N/A</v>
      </c>
      <c r="K48" s="152" t="e">
        <f t="shared" si="11"/>
        <v>#N/A</v>
      </c>
      <c r="L48" s="152" t="e">
        <f t="shared" si="12"/>
        <v>#N/A</v>
      </c>
      <c r="M48" s="142" t="e">
        <f t="shared" si="13"/>
        <v>#N/A</v>
      </c>
    </row>
    <row r="49" spans="1:13" x14ac:dyDescent="0.3">
      <c r="A49" s="145">
        <v>14</v>
      </c>
      <c r="B49" s="151" t="s">
        <v>61</v>
      </c>
      <c r="C49" s="152" t="e">
        <f t="shared" si="6"/>
        <v>#N/A</v>
      </c>
      <c r="D49" s="152" t="e">
        <f t="shared" si="7"/>
        <v>#N/A</v>
      </c>
      <c r="E49" s="152" t="e">
        <f t="shared" si="8"/>
        <v>#N/A</v>
      </c>
      <c r="F49" s="142" t="e">
        <f t="shared" si="9"/>
        <v>#N/A</v>
      </c>
      <c r="G49" s="137"/>
      <c r="H49" s="145">
        <v>14</v>
      </c>
      <c r="I49" s="151" t="s">
        <v>52</v>
      </c>
      <c r="J49" s="152" t="e">
        <f t="shared" si="10"/>
        <v>#N/A</v>
      </c>
      <c r="K49" s="152" t="e">
        <f t="shared" si="11"/>
        <v>#N/A</v>
      </c>
      <c r="L49" s="152" t="e">
        <f t="shared" si="12"/>
        <v>#N/A</v>
      </c>
      <c r="M49" s="142" t="e">
        <f t="shared" si="13"/>
        <v>#N/A</v>
      </c>
    </row>
    <row r="50" spans="1:13" x14ac:dyDescent="0.3">
      <c r="A50" s="145">
        <v>15</v>
      </c>
      <c r="B50" s="151" t="s">
        <v>52</v>
      </c>
      <c r="C50" s="152" t="e">
        <f t="shared" si="6"/>
        <v>#N/A</v>
      </c>
      <c r="D50" s="152" t="e">
        <f t="shared" si="7"/>
        <v>#N/A</v>
      </c>
      <c r="E50" s="152" t="e">
        <f t="shared" si="8"/>
        <v>#N/A</v>
      </c>
      <c r="F50" s="142" t="e">
        <f t="shared" si="9"/>
        <v>#N/A</v>
      </c>
      <c r="G50" s="137"/>
      <c r="H50" s="145">
        <v>15</v>
      </c>
      <c r="I50" s="151" t="s">
        <v>57</v>
      </c>
      <c r="J50" s="152" t="e">
        <f t="shared" si="10"/>
        <v>#N/A</v>
      </c>
      <c r="K50" s="152" t="e">
        <f t="shared" si="11"/>
        <v>#N/A</v>
      </c>
      <c r="L50" s="152" t="e">
        <f t="shared" si="12"/>
        <v>#N/A</v>
      </c>
      <c r="M50" s="142" t="e">
        <f t="shared" si="13"/>
        <v>#N/A</v>
      </c>
    </row>
    <row r="51" spans="1:13" x14ac:dyDescent="0.3">
      <c r="A51" s="145">
        <v>16</v>
      </c>
      <c r="B51" s="151" t="s">
        <v>57</v>
      </c>
      <c r="C51" s="152" t="e">
        <f t="shared" si="6"/>
        <v>#N/A</v>
      </c>
      <c r="D51" s="152" t="e">
        <f t="shared" si="7"/>
        <v>#N/A</v>
      </c>
      <c r="E51" s="152" t="e">
        <f t="shared" si="8"/>
        <v>#N/A</v>
      </c>
      <c r="F51" s="142" t="e">
        <f t="shared" si="9"/>
        <v>#N/A</v>
      </c>
      <c r="G51" s="137"/>
      <c r="H51" s="145">
        <v>16</v>
      </c>
      <c r="I51" s="151" t="s">
        <v>54</v>
      </c>
      <c r="J51" s="152" t="e">
        <f t="shared" si="10"/>
        <v>#N/A</v>
      </c>
      <c r="K51" s="152" t="e">
        <f t="shared" si="11"/>
        <v>#N/A</v>
      </c>
      <c r="L51" s="152" t="e">
        <f t="shared" si="12"/>
        <v>#N/A</v>
      </c>
      <c r="M51" s="142" t="e">
        <f t="shared" si="13"/>
        <v>#N/A</v>
      </c>
    </row>
    <row r="52" spans="1:13" x14ac:dyDescent="0.3">
      <c r="A52" s="145">
        <v>17</v>
      </c>
      <c r="B52" s="151" t="s">
        <v>54</v>
      </c>
      <c r="C52" s="152" t="e">
        <f t="shared" si="6"/>
        <v>#N/A</v>
      </c>
      <c r="D52" s="152" t="e">
        <f t="shared" si="7"/>
        <v>#N/A</v>
      </c>
      <c r="E52" s="152" t="e">
        <f t="shared" si="8"/>
        <v>#N/A</v>
      </c>
      <c r="F52" s="142" t="e">
        <f t="shared" si="9"/>
        <v>#N/A</v>
      </c>
      <c r="G52" s="137"/>
      <c r="H52" s="146">
        <v>17</v>
      </c>
      <c r="I52" s="154" t="s">
        <v>62</v>
      </c>
      <c r="J52" s="152" t="e">
        <f t="shared" si="10"/>
        <v>#N/A</v>
      </c>
      <c r="K52" s="152" t="e">
        <f t="shared" si="11"/>
        <v>#N/A</v>
      </c>
      <c r="L52" s="152" t="e">
        <f t="shared" si="12"/>
        <v>#N/A</v>
      </c>
      <c r="M52" s="142" t="e">
        <f t="shared" si="13"/>
        <v>#N/A</v>
      </c>
    </row>
    <row r="53" spans="1:13" x14ac:dyDescent="0.3">
      <c r="A53" s="146">
        <v>18</v>
      </c>
      <c r="B53" s="154" t="s">
        <v>62</v>
      </c>
      <c r="C53" s="155" t="e">
        <f t="shared" si="6"/>
        <v>#N/A</v>
      </c>
      <c r="D53" s="155" t="e">
        <f t="shared" si="7"/>
        <v>#N/A</v>
      </c>
      <c r="E53" s="155" t="e">
        <f t="shared" si="8"/>
        <v>#N/A</v>
      </c>
      <c r="F53" s="143" t="e">
        <f t="shared" si="9"/>
        <v>#N/A</v>
      </c>
      <c r="G53" s="137"/>
    </row>
    <row r="54" spans="1:13" x14ac:dyDescent="0.3">
      <c r="A54" s="137"/>
    </row>
    <row r="55" spans="1:13" s="41" customFormat="1" x14ac:dyDescent="0.3">
      <c r="B55" s="75"/>
      <c r="C55" s="52"/>
      <c r="D55" s="52"/>
      <c r="E55" s="76"/>
      <c r="F55" s="52"/>
    </row>
    <row r="56" spans="1:13" x14ac:dyDescent="0.3">
      <c r="B56" s="237" t="s">
        <v>73</v>
      </c>
      <c r="H56" s="136" t="s">
        <v>71</v>
      </c>
      <c r="I56" s="231"/>
      <c r="J56" s="45"/>
      <c r="K56" s="45"/>
      <c r="L56" s="45"/>
    </row>
    <row r="57" spans="1:13" x14ac:dyDescent="0.3">
      <c r="A57" s="144"/>
      <c r="B57" s="238"/>
      <c r="C57" s="140" t="s">
        <v>93</v>
      </c>
      <c r="D57" s="140" t="s">
        <v>94</v>
      </c>
      <c r="E57" s="140" t="s">
        <v>36</v>
      </c>
      <c r="F57" s="141" t="s">
        <v>185</v>
      </c>
      <c r="G57" s="158"/>
      <c r="H57" s="144"/>
      <c r="I57" s="140"/>
      <c r="J57" s="140" t="s">
        <v>93</v>
      </c>
      <c r="K57" s="140" t="s">
        <v>94</v>
      </c>
      <c r="L57" s="140" t="s">
        <v>36</v>
      </c>
      <c r="M57" s="141" t="s">
        <v>185</v>
      </c>
    </row>
    <row r="58" spans="1:13" x14ac:dyDescent="0.3">
      <c r="A58" s="145">
        <v>1</v>
      </c>
      <c r="B58" s="151" t="s">
        <v>157</v>
      </c>
      <c r="C58" s="147" t="e">
        <f t="shared" ref="C58:C75" si="14">IF(INDEX(Q3_Paeds,4+$A58,16)="No data",NA(),INDEX(Q3_Paeds,4+$A58,16))</f>
        <v>#N/A</v>
      </c>
      <c r="D58" s="147" t="e">
        <f t="shared" ref="D58:D75" si="15">IF(INDEX(Q3_Paeds,4+$A58,17)="No data",NA(),INDEX(Q3_Paeds,4+$A58,17))</f>
        <v>#N/A</v>
      </c>
      <c r="E58" s="147" t="e">
        <f t="shared" ref="E58:E75" si="16">IF(INDEX(Q3_Paeds,4+$A58,18)="No data",NA(),INDEX(Q3_Paeds,4+$A58,18))</f>
        <v>#N/A</v>
      </c>
      <c r="F58" s="142" t="e">
        <f t="shared" ref="F58:F75" si="17">SUM(C58:E58)</f>
        <v>#N/A</v>
      </c>
      <c r="G58" s="159"/>
      <c r="H58" s="145">
        <v>1</v>
      </c>
      <c r="I58" s="151" t="s">
        <v>157</v>
      </c>
      <c r="J58" s="152" t="e">
        <f t="shared" ref="J58:J74" si="18">IF(INDEX(Q3_Adult,4+$H58,16)="No data",NA(),INDEX(Q3_Adult,4+$H58,16))</f>
        <v>#N/A</v>
      </c>
      <c r="K58" s="152" t="e">
        <f t="shared" ref="K58:K74" si="19">IF(INDEX(Q3_Adult,4+$H58,17)="No data",NA(),INDEX(Q3_Adult,4+$H58,17))</f>
        <v>#N/A</v>
      </c>
      <c r="L58" s="152" t="e">
        <f t="shared" ref="L58:L74" si="20">IF(INDEX(Q3_Adult,4+$H58,18)="No data",NA(),INDEX(Q3_Adult,4+$H58,18))</f>
        <v>#N/A</v>
      </c>
      <c r="M58" s="142" t="e">
        <f t="shared" ref="M58:M74" si="21">SUM(J58:L58)</f>
        <v>#N/A</v>
      </c>
    </row>
    <row r="59" spans="1:13" x14ac:dyDescent="0.3">
      <c r="A59" s="145">
        <v>2</v>
      </c>
      <c r="B59" s="151" t="s">
        <v>158</v>
      </c>
      <c r="C59" s="147" t="e">
        <f t="shared" si="14"/>
        <v>#N/A</v>
      </c>
      <c r="D59" s="147" t="e">
        <f t="shared" si="15"/>
        <v>#N/A</v>
      </c>
      <c r="E59" s="147" t="e">
        <f t="shared" si="16"/>
        <v>#N/A</v>
      </c>
      <c r="F59" s="142" t="e">
        <f t="shared" si="17"/>
        <v>#N/A</v>
      </c>
      <c r="G59" s="159"/>
      <c r="H59" s="145">
        <v>2</v>
      </c>
      <c r="I59" s="151" t="s">
        <v>158</v>
      </c>
      <c r="J59" s="152" t="e">
        <f t="shared" si="18"/>
        <v>#N/A</v>
      </c>
      <c r="K59" s="152" t="e">
        <f t="shared" si="19"/>
        <v>#N/A</v>
      </c>
      <c r="L59" s="152" t="e">
        <f t="shared" si="20"/>
        <v>#N/A</v>
      </c>
      <c r="M59" s="142" t="e">
        <f t="shared" si="21"/>
        <v>#N/A</v>
      </c>
    </row>
    <row r="60" spans="1:13" x14ac:dyDescent="0.3">
      <c r="A60" s="145">
        <v>3</v>
      </c>
      <c r="B60" s="151" t="s">
        <v>159</v>
      </c>
      <c r="C60" s="147" t="e">
        <f t="shared" si="14"/>
        <v>#N/A</v>
      </c>
      <c r="D60" s="147" t="e">
        <f t="shared" si="15"/>
        <v>#N/A</v>
      </c>
      <c r="E60" s="147" t="e">
        <f t="shared" si="16"/>
        <v>#N/A</v>
      </c>
      <c r="F60" s="142" t="e">
        <f t="shared" si="17"/>
        <v>#N/A</v>
      </c>
      <c r="G60" s="159"/>
      <c r="H60" s="145">
        <v>3</v>
      </c>
      <c r="I60" s="151" t="s">
        <v>159</v>
      </c>
      <c r="J60" s="152" t="e">
        <f t="shared" si="18"/>
        <v>#N/A</v>
      </c>
      <c r="K60" s="152" t="e">
        <f t="shared" si="19"/>
        <v>#N/A</v>
      </c>
      <c r="L60" s="152" t="e">
        <f t="shared" si="20"/>
        <v>#N/A</v>
      </c>
      <c r="M60" s="142" t="e">
        <f t="shared" si="21"/>
        <v>#N/A</v>
      </c>
    </row>
    <row r="61" spans="1:13" x14ac:dyDescent="0.3">
      <c r="A61" s="145">
        <v>4</v>
      </c>
      <c r="B61" s="151" t="s">
        <v>160</v>
      </c>
      <c r="C61" s="147" t="e">
        <f t="shared" si="14"/>
        <v>#N/A</v>
      </c>
      <c r="D61" s="147" t="e">
        <f t="shared" si="15"/>
        <v>#N/A</v>
      </c>
      <c r="E61" s="147" t="e">
        <f t="shared" si="16"/>
        <v>#N/A</v>
      </c>
      <c r="F61" s="142" t="e">
        <f t="shared" si="17"/>
        <v>#N/A</v>
      </c>
      <c r="G61" s="159"/>
      <c r="H61" s="145">
        <v>4</v>
      </c>
      <c r="I61" s="151" t="s">
        <v>160</v>
      </c>
      <c r="J61" s="152" t="e">
        <f t="shared" si="18"/>
        <v>#N/A</v>
      </c>
      <c r="K61" s="152" t="e">
        <f t="shared" si="19"/>
        <v>#N/A</v>
      </c>
      <c r="L61" s="152" t="e">
        <f t="shared" si="20"/>
        <v>#N/A</v>
      </c>
      <c r="M61" s="142" t="e">
        <f t="shared" si="21"/>
        <v>#N/A</v>
      </c>
    </row>
    <row r="62" spans="1:13" x14ac:dyDescent="0.3">
      <c r="A62" s="145">
        <v>5</v>
      </c>
      <c r="B62" s="151" t="s">
        <v>161</v>
      </c>
      <c r="C62" s="147" t="e">
        <f t="shared" si="14"/>
        <v>#N/A</v>
      </c>
      <c r="D62" s="147" t="e">
        <f t="shared" si="15"/>
        <v>#N/A</v>
      </c>
      <c r="E62" s="147" t="e">
        <f t="shared" si="16"/>
        <v>#N/A</v>
      </c>
      <c r="F62" s="142" t="e">
        <f t="shared" si="17"/>
        <v>#N/A</v>
      </c>
      <c r="G62" s="159"/>
      <c r="H62" s="145">
        <v>5</v>
      </c>
      <c r="I62" s="151" t="s">
        <v>161</v>
      </c>
      <c r="J62" s="152" t="e">
        <f t="shared" si="18"/>
        <v>#N/A</v>
      </c>
      <c r="K62" s="152" t="e">
        <f t="shared" si="19"/>
        <v>#N/A</v>
      </c>
      <c r="L62" s="152" t="e">
        <f t="shared" si="20"/>
        <v>#N/A</v>
      </c>
      <c r="M62" s="142" t="e">
        <f t="shared" si="21"/>
        <v>#N/A</v>
      </c>
    </row>
    <row r="63" spans="1:13" x14ac:dyDescent="0.3">
      <c r="A63" s="145">
        <v>6</v>
      </c>
      <c r="B63" s="151" t="s">
        <v>165</v>
      </c>
      <c r="C63" s="147" t="e">
        <f t="shared" si="14"/>
        <v>#N/A</v>
      </c>
      <c r="D63" s="147" t="e">
        <f t="shared" si="15"/>
        <v>#N/A</v>
      </c>
      <c r="E63" s="147" t="e">
        <f t="shared" si="16"/>
        <v>#N/A</v>
      </c>
      <c r="F63" s="142" t="e">
        <f t="shared" si="17"/>
        <v>#N/A</v>
      </c>
      <c r="G63" s="159"/>
      <c r="H63" s="145">
        <v>6</v>
      </c>
      <c r="I63" s="151" t="s">
        <v>165</v>
      </c>
      <c r="J63" s="152" t="e">
        <f t="shared" si="18"/>
        <v>#N/A</v>
      </c>
      <c r="K63" s="152" t="e">
        <f t="shared" si="19"/>
        <v>#N/A</v>
      </c>
      <c r="L63" s="152" t="e">
        <f t="shared" si="20"/>
        <v>#N/A</v>
      </c>
      <c r="M63" s="142" t="e">
        <f t="shared" si="21"/>
        <v>#N/A</v>
      </c>
    </row>
    <row r="64" spans="1:13" x14ac:dyDescent="0.3">
      <c r="A64" s="145">
        <v>7</v>
      </c>
      <c r="B64" s="151" t="s">
        <v>166</v>
      </c>
      <c r="C64" s="147" t="e">
        <f t="shared" si="14"/>
        <v>#N/A</v>
      </c>
      <c r="D64" s="147" t="e">
        <f t="shared" si="15"/>
        <v>#N/A</v>
      </c>
      <c r="E64" s="147" t="e">
        <f t="shared" si="16"/>
        <v>#N/A</v>
      </c>
      <c r="F64" s="142" t="e">
        <f t="shared" si="17"/>
        <v>#N/A</v>
      </c>
      <c r="G64" s="159"/>
      <c r="H64" s="145">
        <v>7</v>
      </c>
      <c r="I64" s="151" t="s">
        <v>166</v>
      </c>
      <c r="J64" s="152" t="e">
        <f t="shared" si="18"/>
        <v>#N/A</v>
      </c>
      <c r="K64" s="152" t="e">
        <f t="shared" si="19"/>
        <v>#N/A</v>
      </c>
      <c r="L64" s="152" t="e">
        <f t="shared" si="20"/>
        <v>#N/A</v>
      </c>
      <c r="M64" s="142" t="e">
        <f t="shared" si="21"/>
        <v>#N/A</v>
      </c>
    </row>
    <row r="65" spans="1:15" x14ac:dyDescent="0.3">
      <c r="A65" s="145">
        <v>8</v>
      </c>
      <c r="B65" s="151" t="s">
        <v>162</v>
      </c>
      <c r="C65" s="147" t="e">
        <f t="shared" si="14"/>
        <v>#N/A</v>
      </c>
      <c r="D65" s="147" t="e">
        <f t="shared" si="15"/>
        <v>#N/A</v>
      </c>
      <c r="E65" s="147" t="e">
        <f t="shared" si="16"/>
        <v>#N/A</v>
      </c>
      <c r="F65" s="142" t="e">
        <f t="shared" si="17"/>
        <v>#N/A</v>
      </c>
      <c r="G65" s="159"/>
      <c r="H65" s="145">
        <v>8</v>
      </c>
      <c r="I65" s="151" t="s">
        <v>162</v>
      </c>
      <c r="J65" s="152" t="e">
        <f t="shared" si="18"/>
        <v>#N/A</v>
      </c>
      <c r="K65" s="152" t="e">
        <f t="shared" si="19"/>
        <v>#N/A</v>
      </c>
      <c r="L65" s="152" t="e">
        <f t="shared" si="20"/>
        <v>#N/A</v>
      </c>
      <c r="M65" s="142" t="e">
        <f t="shared" si="21"/>
        <v>#N/A</v>
      </c>
    </row>
    <row r="66" spans="1:15" x14ac:dyDescent="0.3">
      <c r="A66" s="145">
        <v>9</v>
      </c>
      <c r="B66" s="151" t="s">
        <v>58</v>
      </c>
      <c r="C66" s="147" t="e">
        <f t="shared" si="14"/>
        <v>#N/A</v>
      </c>
      <c r="D66" s="147" t="e">
        <f t="shared" si="15"/>
        <v>#N/A</v>
      </c>
      <c r="E66" s="147" t="e">
        <f t="shared" si="16"/>
        <v>#N/A</v>
      </c>
      <c r="F66" s="142" t="e">
        <f t="shared" si="17"/>
        <v>#N/A</v>
      </c>
      <c r="G66" s="159"/>
      <c r="H66" s="145">
        <v>9</v>
      </c>
      <c r="I66" s="151" t="s">
        <v>58</v>
      </c>
      <c r="J66" s="152" t="e">
        <f t="shared" si="18"/>
        <v>#N/A</v>
      </c>
      <c r="K66" s="152" t="e">
        <f t="shared" si="19"/>
        <v>#N/A</v>
      </c>
      <c r="L66" s="152" t="e">
        <f t="shared" si="20"/>
        <v>#N/A</v>
      </c>
      <c r="M66" s="142" t="e">
        <f t="shared" si="21"/>
        <v>#N/A</v>
      </c>
    </row>
    <row r="67" spans="1:15" x14ac:dyDescent="0.3">
      <c r="A67" s="145">
        <v>10</v>
      </c>
      <c r="B67" s="151" t="s">
        <v>59</v>
      </c>
      <c r="C67" s="147" t="e">
        <f t="shared" si="14"/>
        <v>#N/A</v>
      </c>
      <c r="D67" s="147" t="e">
        <f t="shared" si="15"/>
        <v>#N/A</v>
      </c>
      <c r="E67" s="147" t="e">
        <f t="shared" si="16"/>
        <v>#N/A</v>
      </c>
      <c r="F67" s="142" t="e">
        <f t="shared" si="17"/>
        <v>#N/A</v>
      </c>
      <c r="G67" s="159"/>
      <c r="H67" s="145">
        <v>10</v>
      </c>
      <c r="I67" s="151" t="s">
        <v>164</v>
      </c>
      <c r="J67" s="152" t="e">
        <f t="shared" si="18"/>
        <v>#N/A</v>
      </c>
      <c r="K67" s="152" t="e">
        <f t="shared" si="19"/>
        <v>#N/A</v>
      </c>
      <c r="L67" s="152" t="e">
        <f t="shared" si="20"/>
        <v>#N/A</v>
      </c>
      <c r="M67" s="142" t="e">
        <f t="shared" si="21"/>
        <v>#N/A</v>
      </c>
    </row>
    <row r="68" spans="1:15" x14ac:dyDescent="0.3">
      <c r="A68" s="145">
        <v>11</v>
      </c>
      <c r="B68" s="151" t="s">
        <v>164</v>
      </c>
      <c r="C68" s="147" t="e">
        <f t="shared" si="14"/>
        <v>#N/A</v>
      </c>
      <c r="D68" s="147" t="e">
        <f t="shared" si="15"/>
        <v>#N/A</v>
      </c>
      <c r="E68" s="147" t="e">
        <f t="shared" si="16"/>
        <v>#N/A</v>
      </c>
      <c r="F68" s="142" t="e">
        <f t="shared" si="17"/>
        <v>#N/A</v>
      </c>
      <c r="G68" s="159"/>
      <c r="H68" s="145">
        <v>11</v>
      </c>
      <c r="I68" s="151" t="s">
        <v>60</v>
      </c>
      <c r="J68" s="152" t="e">
        <f t="shared" si="18"/>
        <v>#N/A</v>
      </c>
      <c r="K68" s="152" t="e">
        <f t="shared" si="19"/>
        <v>#N/A</v>
      </c>
      <c r="L68" s="152" t="e">
        <f t="shared" si="20"/>
        <v>#N/A</v>
      </c>
      <c r="M68" s="142" t="e">
        <f t="shared" si="21"/>
        <v>#N/A</v>
      </c>
    </row>
    <row r="69" spans="1:15" x14ac:dyDescent="0.3">
      <c r="A69" s="145">
        <v>12</v>
      </c>
      <c r="B69" s="151" t="s">
        <v>60</v>
      </c>
      <c r="C69" s="147" t="e">
        <f t="shared" si="14"/>
        <v>#N/A</v>
      </c>
      <c r="D69" s="147" t="e">
        <f t="shared" si="15"/>
        <v>#N/A</v>
      </c>
      <c r="E69" s="147" t="e">
        <f t="shared" si="16"/>
        <v>#N/A</v>
      </c>
      <c r="F69" s="142" t="e">
        <f t="shared" si="17"/>
        <v>#N/A</v>
      </c>
      <c r="G69" s="159"/>
      <c r="H69" s="145">
        <v>12</v>
      </c>
      <c r="I69" s="151" t="s">
        <v>56</v>
      </c>
      <c r="J69" s="152" t="e">
        <f t="shared" si="18"/>
        <v>#N/A</v>
      </c>
      <c r="K69" s="152" t="e">
        <f t="shared" si="19"/>
        <v>#N/A</v>
      </c>
      <c r="L69" s="152" t="e">
        <f t="shared" si="20"/>
        <v>#N/A</v>
      </c>
      <c r="M69" s="142" t="e">
        <f t="shared" si="21"/>
        <v>#N/A</v>
      </c>
    </row>
    <row r="70" spans="1:15" x14ac:dyDescent="0.3">
      <c r="A70" s="145">
        <v>13</v>
      </c>
      <c r="B70" s="151" t="s">
        <v>56</v>
      </c>
      <c r="C70" s="147" t="e">
        <f t="shared" si="14"/>
        <v>#N/A</v>
      </c>
      <c r="D70" s="147" t="e">
        <f t="shared" si="15"/>
        <v>#N/A</v>
      </c>
      <c r="E70" s="147" t="e">
        <f t="shared" si="16"/>
        <v>#N/A</v>
      </c>
      <c r="F70" s="142" t="e">
        <f t="shared" si="17"/>
        <v>#N/A</v>
      </c>
      <c r="G70" s="159"/>
      <c r="H70" s="145">
        <v>13</v>
      </c>
      <c r="I70" s="151" t="s">
        <v>61</v>
      </c>
      <c r="J70" s="152" t="e">
        <f t="shared" si="18"/>
        <v>#N/A</v>
      </c>
      <c r="K70" s="152" t="e">
        <f t="shared" si="19"/>
        <v>#N/A</v>
      </c>
      <c r="L70" s="152" t="e">
        <f t="shared" si="20"/>
        <v>#N/A</v>
      </c>
      <c r="M70" s="142" t="e">
        <f t="shared" si="21"/>
        <v>#N/A</v>
      </c>
    </row>
    <row r="71" spans="1:15" x14ac:dyDescent="0.3">
      <c r="A71" s="145">
        <v>14</v>
      </c>
      <c r="B71" s="151" t="s">
        <v>61</v>
      </c>
      <c r="C71" s="147" t="e">
        <f t="shared" si="14"/>
        <v>#N/A</v>
      </c>
      <c r="D71" s="147" t="e">
        <f t="shared" si="15"/>
        <v>#N/A</v>
      </c>
      <c r="E71" s="147" t="e">
        <f t="shared" si="16"/>
        <v>#N/A</v>
      </c>
      <c r="F71" s="142" t="e">
        <f t="shared" si="17"/>
        <v>#N/A</v>
      </c>
      <c r="G71" s="159"/>
      <c r="H71" s="145">
        <v>14</v>
      </c>
      <c r="I71" s="151" t="s">
        <v>52</v>
      </c>
      <c r="J71" s="152" t="e">
        <f t="shared" si="18"/>
        <v>#N/A</v>
      </c>
      <c r="K71" s="152" t="e">
        <f t="shared" si="19"/>
        <v>#N/A</v>
      </c>
      <c r="L71" s="152" t="e">
        <f t="shared" si="20"/>
        <v>#N/A</v>
      </c>
      <c r="M71" s="142" t="e">
        <f t="shared" si="21"/>
        <v>#N/A</v>
      </c>
    </row>
    <row r="72" spans="1:15" x14ac:dyDescent="0.3">
      <c r="A72" s="145">
        <v>15</v>
      </c>
      <c r="B72" s="151" t="s">
        <v>52</v>
      </c>
      <c r="C72" s="147" t="e">
        <f t="shared" si="14"/>
        <v>#N/A</v>
      </c>
      <c r="D72" s="147" t="e">
        <f t="shared" si="15"/>
        <v>#N/A</v>
      </c>
      <c r="E72" s="147" t="e">
        <f t="shared" si="16"/>
        <v>#N/A</v>
      </c>
      <c r="F72" s="142" t="e">
        <f t="shared" si="17"/>
        <v>#N/A</v>
      </c>
      <c r="G72" s="159"/>
      <c r="H72" s="145">
        <v>15</v>
      </c>
      <c r="I72" s="151" t="s">
        <v>57</v>
      </c>
      <c r="J72" s="152" t="e">
        <f t="shared" si="18"/>
        <v>#N/A</v>
      </c>
      <c r="K72" s="152" t="e">
        <f t="shared" si="19"/>
        <v>#N/A</v>
      </c>
      <c r="L72" s="152" t="e">
        <f t="shared" si="20"/>
        <v>#N/A</v>
      </c>
      <c r="M72" s="142" t="e">
        <f t="shared" si="21"/>
        <v>#N/A</v>
      </c>
    </row>
    <row r="73" spans="1:15" x14ac:dyDescent="0.3">
      <c r="A73" s="145">
        <v>16</v>
      </c>
      <c r="B73" s="151" t="s">
        <v>57</v>
      </c>
      <c r="C73" s="147" t="e">
        <f t="shared" si="14"/>
        <v>#N/A</v>
      </c>
      <c r="D73" s="147" t="e">
        <f t="shared" si="15"/>
        <v>#N/A</v>
      </c>
      <c r="E73" s="147" t="e">
        <f t="shared" si="16"/>
        <v>#N/A</v>
      </c>
      <c r="F73" s="142" t="e">
        <f t="shared" si="17"/>
        <v>#N/A</v>
      </c>
      <c r="G73" s="159"/>
      <c r="H73" s="145">
        <v>16</v>
      </c>
      <c r="I73" s="151" t="s">
        <v>54</v>
      </c>
      <c r="J73" s="152" t="e">
        <f t="shared" si="18"/>
        <v>#N/A</v>
      </c>
      <c r="K73" s="152" t="e">
        <f t="shared" si="19"/>
        <v>#N/A</v>
      </c>
      <c r="L73" s="152" t="e">
        <f t="shared" si="20"/>
        <v>#N/A</v>
      </c>
      <c r="M73" s="142" t="e">
        <f t="shared" si="21"/>
        <v>#N/A</v>
      </c>
    </row>
    <row r="74" spans="1:15" x14ac:dyDescent="0.3">
      <c r="A74" s="145">
        <v>17</v>
      </c>
      <c r="B74" s="151" t="s">
        <v>54</v>
      </c>
      <c r="C74" s="147" t="e">
        <f t="shared" si="14"/>
        <v>#N/A</v>
      </c>
      <c r="D74" s="147" t="e">
        <f t="shared" si="15"/>
        <v>#N/A</v>
      </c>
      <c r="E74" s="147" t="e">
        <f t="shared" si="16"/>
        <v>#N/A</v>
      </c>
      <c r="F74" s="142" t="e">
        <f t="shared" si="17"/>
        <v>#N/A</v>
      </c>
      <c r="G74" s="159"/>
      <c r="H74" s="146">
        <v>17</v>
      </c>
      <c r="I74" s="154" t="s">
        <v>62</v>
      </c>
      <c r="J74" s="152" t="e">
        <f t="shared" si="18"/>
        <v>#N/A</v>
      </c>
      <c r="K74" s="152" t="e">
        <f t="shared" si="19"/>
        <v>#N/A</v>
      </c>
      <c r="L74" s="152" t="e">
        <f t="shared" si="20"/>
        <v>#N/A</v>
      </c>
      <c r="M74" s="142" t="e">
        <f t="shared" si="21"/>
        <v>#N/A</v>
      </c>
    </row>
    <row r="75" spans="1:15" x14ac:dyDescent="0.3">
      <c r="A75" s="146">
        <v>18</v>
      </c>
      <c r="B75" s="154" t="s">
        <v>62</v>
      </c>
      <c r="C75" s="148" t="e">
        <f t="shared" si="14"/>
        <v>#N/A</v>
      </c>
      <c r="D75" s="148" t="e">
        <f t="shared" si="15"/>
        <v>#N/A</v>
      </c>
      <c r="E75" s="148" t="e">
        <f t="shared" si="16"/>
        <v>#N/A</v>
      </c>
      <c r="F75" s="143" t="e">
        <f t="shared" si="17"/>
        <v>#N/A</v>
      </c>
      <c r="G75" s="159"/>
    </row>
    <row r="77" spans="1:15" s="102" customFormat="1" ht="18" x14ac:dyDescent="0.35">
      <c r="B77" s="102" t="s">
        <v>108</v>
      </c>
    </row>
    <row r="78" spans="1:15" s="103" customFormat="1" ht="43.5" customHeight="1" x14ac:dyDescent="0.4">
      <c r="B78" s="104" t="s">
        <v>189</v>
      </c>
    </row>
    <row r="79" spans="1:15" x14ac:dyDescent="0.3">
      <c r="A79" s="41"/>
      <c r="B79" s="136" t="s">
        <v>74</v>
      </c>
      <c r="C79" s="41"/>
      <c r="D79" s="41"/>
      <c r="E79" s="136" t="s">
        <v>146</v>
      </c>
      <c r="F79" s="136"/>
      <c r="I79" s="34" t="s">
        <v>143</v>
      </c>
      <c r="M79" s="34" t="s">
        <v>143</v>
      </c>
    </row>
    <row r="80" spans="1:15" x14ac:dyDescent="0.3">
      <c r="A80" s="144"/>
      <c r="B80" s="140"/>
      <c r="C80" s="141" t="str">
        <f>Data!U29</f>
        <v>Local consultant</v>
      </c>
      <c r="D80" s="158"/>
      <c r="E80" s="144"/>
      <c r="F80" s="140"/>
      <c r="G80" s="141" t="str">
        <f>Data!V29</f>
        <v>Visiting consultant</v>
      </c>
      <c r="H80" s="158"/>
      <c r="I80" s="144"/>
      <c r="J80" s="140"/>
      <c r="K80" s="141" t="str">
        <f>Data!U5</f>
        <v>Local consultant</v>
      </c>
      <c r="L80" s="158"/>
      <c r="M80" s="144"/>
      <c r="N80" s="140"/>
      <c r="O80" s="141" t="str">
        <f>Data!V5</f>
        <v>Visiting consultant</v>
      </c>
    </row>
    <row r="81" spans="1:15" x14ac:dyDescent="0.3">
      <c r="A81" s="145">
        <v>1</v>
      </c>
      <c r="B81" s="151" t="s">
        <v>157</v>
      </c>
      <c r="C81" s="160" t="e">
        <f t="shared" ref="C81:C98" si="22">IF(INDEX(Q3_Paeds,4+$A81,21)="No data",NA(),INDEX(Q3_Paeds,4+$A81,21))</f>
        <v>#N/A</v>
      </c>
      <c r="D81" s="162"/>
      <c r="E81" s="145">
        <v>1</v>
      </c>
      <c r="F81" s="151" t="s">
        <v>157</v>
      </c>
      <c r="G81" s="160" t="e">
        <f t="shared" ref="G81:G98" si="23">IF(INDEX(Q3_Paeds,4+$E81,22)="No data",NA(),INDEX(Q3_Paeds,4+$E81,22))</f>
        <v>#N/A</v>
      </c>
      <c r="H81" s="162"/>
      <c r="I81" s="145">
        <v>1</v>
      </c>
      <c r="J81" s="151" t="s">
        <v>157</v>
      </c>
      <c r="K81" s="160" t="e">
        <f t="shared" ref="K81:K97" si="24">IF(INDEX(Q3_Adult,4+$I81,21)="No data",NA(),INDEX(Q3_Adult,4+$I81,21))</f>
        <v>#N/A</v>
      </c>
      <c r="L81" s="162"/>
      <c r="M81" s="145">
        <v>1</v>
      </c>
      <c r="N81" s="151" t="s">
        <v>157</v>
      </c>
      <c r="O81" s="160" t="e">
        <f t="shared" ref="O81:O97" si="25">IF(INDEX(Q3_Adult,4+$M81,22)="No data",NA(),INDEX(Q3_Adult,4+$M81,22))</f>
        <v>#N/A</v>
      </c>
    </row>
    <row r="82" spans="1:15" x14ac:dyDescent="0.3">
      <c r="A82" s="145">
        <v>2</v>
      </c>
      <c r="B82" s="151" t="s">
        <v>158</v>
      </c>
      <c r="C82" s="160" t="e">
        <f t="shared" si="22"/>
        <v>#N/A</v>
      </c>
      <c r="D82" s="162"/>
      <c r="E82" s="145">
        <v>2</v>
      </c>
      <c r="F82" s="151" t="s">
        <v>158</v>
      </c>
      <c r="G82" s="160" t="e">
        <f t="shared" si="23"/>
        <v>#N/A</v>
      </c>
      <c r="H82" s="162"/>
      <c r="I82" s="145">
        <v>2</v>
      </c>
      <c r="J82" s="151" t="s">
        <v>158</v>
      </c>
      <c r="K82" s="160" t="e">
        <f t="shared" si="24"/>
        <v>#N/A</v>
      </c>
      <c r="L82" s="162"/>
      <c r="M82" s="145">
        <v>2</v>
      </c>
      <c r="N82" s="151" t="s">
        <v>158</v>
      </c>
      <c r="O82" s="160" t="e">
        <f t="shared" si="25"/>
        <v>#N/A</v>
      </c>
    </row>
    <row r="83" spans="1:15" x14ac:dyDescent="0.3">
      <c r="A83" s="145">
        <v>3</v>
      </c>
      <c r="B83" s="151" t="s">
        <v>159</v>
      </c>
      <c r="C83" s="160" t="e">
        <f t="shared" si="22"/>
        <v>#N/A</v>
      </c>
      <c r="D83" s="162"/>
      <c r="E83" s="145">
        <v>3</v>
      </c>
      <c r="F83" s="151" t="s">
        <v>159</v>
      </c>
      <c r="G83" s="160" t="e">
        <f t="shared" si="23"/>
        <v>#N/A</v>
      </c>
      <c r="H83" s="162"/>
      <c r="I83" s="145">
        <v>3</v>
      </c>
      <c r="J83" s="151" t="s">
        <v>159</v>
      </c>
      <c r="K83" s="160" t="e">
        <f t="shared" si="24"/>
        <v>#N/A</v>
      </c>
      <c r="L83" s="162"/>
      <c r="M83" s="145">
        <v>3</v>
      </c>
      <c r="N83" s="151" t="s">
        <v>159</v>
      </c>
      <c r="O83" s="160" t="e">
        <f t="shared" si="25"/>
        <v>#N/A</v>
      </c>
    </row>
    <row r="84" spans="1:15" x14ac:dyDescent="0.3">
      <c r="A84" s="145">
        <v>4</v>
      </c>
      <c r="B84" s="151" t="s">
        <v>160</v>
      </c>
      <c r="C84" s="160" t="e">
        <f t="shared" si="22"/>
        <v>#N/A</v>
      </c>
      <c r="D84" s="162"/>
      <c r="E84" s="145">
        <v>4</v>
      </c>
      <c r="F84" s="151" t="s">
        <v>160</v>
      </c>
      <c r="G84" s="160" t="e">
        <f t="shared" si="23"/>
        <v>#N/A</v>
      </c>
      <c r="H84" s="162"/>
      <c r="I84" s="145">
        <v>4</v>
      </c>
      <c r="J84" s="151" t="s">
        <v>160</v>
      </c>
      <c r="K84" s="160" t="e">
        <f t="shared" si="24"/>
        <v>#N/A</v>
      </c>
      <c r="L84" s="162"/>
      <c r="M84" s="145">
        <v>4</v>
      </c>
      <c r="N84" s="151" t="s">
        <v>160</v>
      </c>
      <c r="O84" s="160" t="e">
        <f t="shared" si="25"/>
        <v>#N/A</v>
      </c>
    </row>
    <row r="85" spans="1:15" x14ac:dyDescent="0.3">
      <c r="A85" s="145">
        <v>5</v>
      </c>
      <c r="B85" s="151" t="s">
        <v>161</v>
      </c>
      <c r="C85" s="160" t="e">
        <f t="shared" si="22"/>
        <v>#N/A</v>
      </c>
      <c r="D85" s="162"/>
      <c r="E85" s="145">
        <v>5</v>
      </c>
      <c r="F85" s="151" t="s">
        <v>161</v>
      </c>
      <c r="G85" s="160" t="e">
        <f t="shared" si="23"/>
        <v>#N/A</v>
      </c>
      <c r="H85" s="162"/>
      <c r="I85" s="145">
        <v>5</v>
      </c>
      <c r="J85" s="151" t="s">
        <v>161</v>
      </c>
      <c r="K85" s="160" t="e">
        <f t="shared" si="24"/>
        <v>#N/A</v>
      </c>
      <c r="L85" s="162"/>
      <c r="M85" s="145">
        <v>5</v>
      </c>
      <c r="N85" s="151" t="s">
        <v>161</v>
      </c>
      <c r="O85" s="160" t="e">
        <f t="shared" si="25"/>
        <v>#N/A</v>
      </c>
    </row>
    <row r="86" spans="1:15" x14ac:dyDescent="0.3">
      <c r="A86" s="145">
        <v>6</v>
      </c>
      <c r="B86" s="151" t="s">
        <v>165</v>
      </c>
      <c r="C86" s="160" t="e">
        <f t="shared" si="22"/>
        <v>#N/A</v>
      </c>
      <c r="D86" s="162"/>
      <c r="E86" s="145">
        <v>6</v>
      </c>
      <c r="F86" s="151" t="s">
        <v>165</v>
      </c>
      <c r="G86" s="160" t="e">
        <f t="shared" si="23"/>
        <v>#N/A</v>
      </c>
      <c r="H86" s="162"/>
      <c r="I86" s="145">
        <v>6</v>
      </c>
      <c r="J86" s="151" t="s">
        <v>165</v>
      </c>
      <c r="K86" s="160" t="e">
        <f t="shared" si="24"/>
        <v>#N/A</v>
      </c>
      <c r="L86" s="162"/>
      <c r="M86" s="145">
        <v>6</v>
      </c>
      <c r="N86" s="151" t="s">
        <v>165</v>
      </c>
      <c r="O86" s="160" t="e">
        <f t="shared" si="25"/>
        <v>#N/A</v>
      </c>
    </row>
    <row r="87" spans="1:15" x14ac:dyDescent="0.3">
      <c r="A87" s="145">
        <v>7</v>
      </c>
      <c r="B87" s="151" t="s">
        <v>166</v>
      </c>
      <c r="C87" s="160" t="e">
        <f t="shared" si="22"/>
        <v>#N/A</v>
      </c>
      <c r="D87" s="162"/>
      <c r="E87" s="145">
        <v>7</v>
      </c>
      <c r="F87" s="151" t="s">
        <v>166</v>
      </c>
      <c r="G87" s="160" t="e">
        <f t="shared" si="23"/>
        <v>#N/A</v>
      </c>
      <c r="H87" s="162"/>
      <c r="I87" s="145">
        <v>7</v>
      </c>
      <c r="J87" s="151" t="s">
        <v>166</v>
      </c>
      <c r="K87" s="160" t="e">
        <f t="shared" si="24"/>
        <v>#N/A</v>
      </c>
      <c r="L87" s="162"/>
      <c r="M87" s="145">
        <v>7</v>
      </c>
      <c r="N87" s="151" t="s">
        <v>166</v>
      </c>
      <c r="O87" s="160" t="e">
        <f t="shared" si="25"/>
        <v>#N/A</v>
      </c>
    </row>
    <row r="88" spans="1:15" x14ac:dyDescent="0.3">
      <c r="A88" s="145">
        <v>8</v>
      </c>
      <c r="B88" s="151" t="s">
        <v>162</v>
      </c>
      <c r="C88" s="160" t="e">
        <f t="shared" si="22"/>
        <v>#N/A</v>
      </c>
      <c r="D88" s="162"/>
      <c r="E88" s="145">
        <v>8</v>
      </c>
      <c r="F88" s="151" t="s">
        <v>162</v>
      </c>
      <c r="G88" s="160" t="e">
        <f t="shared" si="23"/>
        <v>#N/A</v>
      </c>
      <c r="H88" s="162"/>
      <c r="I88" s="145">
        <v>8</v>
      </c>
      <c r="J88" s="151" t="s">
        <v>162</v>
      </c>
      <c r="K88" s="160" t="e">
        <f t="shared" si="24"/>
        <v>#N/A</v>
      </c>
      <c r="L88" s="162"/>
      <c r="M88" s="145">
        <v>8</v>
      </c>
      <c r="N88" s="151" t="s">
        <v>162</v>
      </c>
      <c r="O88" s="160" t="e">
        <f t="shared" si="25"/>
        <v>#N/A</v>
      </c>
    </row>
    <row r="89" spans="1:15" x14ac:dyDescent="0.3">
      <c r="A89" s="145">
        <v>9</v>
      </c>
      <c r="B89" s="151" t="s">
        <v>58</v>
      </c>
      <c r="C89" s="160" t="e">
        <f t="shared" si="22"/>
        <v>#N/A</v>
      </c>
      <c r="D89" s="162"/>
      <c r="E89" s="145">
        <v>9</v>
      </c>
      <c r="F89" s="151" t="s">
        <v>58</v>
      </c>
      <c r="G89" s="160" t="e">
        <f t="shared" si="23"/>
        <v>#N/A</v>
      </c>
      <c r="H89" s="162"/>
      <c r="I89" s="145">
        <v>9</v>
      </c>
      <c r="J89" s="151" t="s">
        <v>58</v>
      </c>
      <c r="K89" s="160" t="e">
        <f t="shared" si="24"/>
        <v>#N/A</v>
      </c>
      <c r="L89" s="162"/>
      <c r="M89" s="145">
        <v>9</v>
      </c>
      <c r="N89" s="151" t="s">
        <v>58</v>
      </c>
      <c r="O89" s="160" t="e">
        <f t="shared" si="25"/>
        <v>#N/A</v>
      </c>
    </row>
    <row r="90" spans="1:15" x14ac:dyDescent="0.3">
      <c r="A90" s="145">
        <v>10</v>
      </c>
      <c r="B90" s="151" t="s">
        <v>59</v>
      </c>
      <c r="C90" s="160" t="e">
        <f t="shared" si="22"/>
        <v>#N/A</v>
      </c>
      <c r="D90" s="162"/>
      <c r="E90" s="145">
        <v>10</v>
      </c>
      <c r="F90" s="151" t="s">
        <v>59</v>
      </c>
      <c r="G90" s="160" t="e">
        <f t="shared" si="23"/>
        <v>#N/A</v>
      </c>
      <c r="H90" s="162"/>
      <c r="I90" s="145">
        <v>10</v>
      </c>
      <c r="J90" s="151" t="s">
        <v>164</v>
      </c>
      <c r="K90" s="160" t="e">
        <f t="shared" si="24"/>
        <v>#N/A</v>
      </c>
      <c r="L90" s="162"/>
      <c r="M90" s="145">
        <v>10</v>
      </c>
      <c r="N90" s="151" t="s">
        <v>164</v>
      </c>
      <c r="O90" s="160" t="e">
        <f t="shared" si="25"/>
        <v>#N/A</v>
      </c>
    </row>
    <row r="91" spans="1:15" x14ac:dyDescent="0.3">
      <c r="A91" s="145">
        <v>11</v>
      </c>
      <c r="B91" s="151" t="s">
        <v>164</v>
      </c>
      <c r="C91" s="160" t="e">
        <f t="shared" si="22"/>
        <v>#N/A</v>
      </c>
      <c r="D91" s="162"/>
      <c r="E91" s="145">
        <v>11</v>
      </c>
      <c r="F91" s="151" t="s">
        <v>164</v>
      </c>
      <c r="G91" s="160" t="e">
        <f t="shared" si="23"/>
        <v>#N/A</v>
      </c>
      <c r="H91" s="162"/>
      <c r="I91" s="145">
        <v>11</v>
      </c>
      <c r="J91" s="151" t="s">
        <v>60</v>
      </c>
      <c r="K91" s="160" t="e">
        <f t="shared" si="24"/>
        <v>#N/A</v>
      </c>
      <c r="L91" s="162"/>
      <c r="M91" s="145">
        <v>11</v>
      </c>
      <c r="N91" s="151" t="s">
        <v>60</v>
      </c>
      <c r="O91" s="160" t="e">
        <f t="shared" si="25"/>
        <v>#N/A</v>
      </c>
    </row>
    <row r="92" spans="1:15" x14ac:dyDescent="0.3">
      <c r="A92" s="145">
        <v>12</v>
      </c>
      <c r="B92" s="151" t="s">
        <v>60</v>
      </c>
      <c r="C92" s="160" t="e">
        <f t="shared" si="22"/>
        <v>#N/A</v>
      </c>
      <c r="D92" s="162"/>
      <c r="E92" s="145">
        <v>12</v>
      </c>
      <c r="F92" s="151" t="s">
        <v>60</v>
      </c>
      <c r="G92" s="160" t="e">
        <f t="shared" si="23"/>
        <v>#N/A</v>
      </c>
      <c r="H92" s="162"/>
      <c r="I92" s="145">
        <v>12</v>
      </c>
      <c r="J92" s="151" t="s">
        <v>56</v>
      </c>
      <c r="K92" s="160" t="e">
        <f t="shared" si="24"/>
        <v>#N/A</v>
      </c>
      <c r="L92" s="162"/>
      <c r="M92" s="145">
        <v>12</v>
      </c>
      <c r="N92" s="151" t="s">
        <v>56</v>
      </c>
      <c r="O92" s="160" t="e">
        <f t="shared" si="25"/>
        <v>#N/A</v>
      </c>
    </row>
    <row r="93" spans="1:15" x14ac:dyDescent="0.3">
      <c r="A93" s="145">
        <v>13</v>
      </c>
      <c r="B93" s="151" t="s">
        <v>56</v>
      </c>
      <c r="C93" s="160" t="e">
        <f t="shared" si="22"/>
        <v>#N/A</v>
      </c>
      <c r="D93" s="162"/>
      <c r="E93" s="145">
        <v>13</v>
      </c>
      <c r="F93" s="151" t="s">
        <v>56</v>
      </c>
      <c r="G93" s="160" t="e">
        <f t="shared" si="23"/>
        <v>#N/A</v>
      </c>
      <c r="H93" s="162"/>
      <c r="I93" s="145">
        <v>13</v>
      </c>
      <c r="J93" s="151" t="s">
        <v>61</v>
      </c>
      <c r="K93" s="160" t="e">
        <f t="shared" si="24"/>
        <v>#N/A</v>
      </c>
      <c r="L93" s="162"/>
      <c r="M93" s="145">
        <v>13</v>
      </c>
      <c r="N93" s="151" t="s">
        <v>61</v>
      </c>
      <c r="O93" s="160" t="e">
        <f t="shared" si="25"/>
        <v>#N/A</v>
      </c>
    </row>
    <row r="94" spans="1:15" x14ac:dyDescent="0.3">
      <c r="A94" s="145">
        <v>14</v>
      </c>
      <c r="B94" s="151" t="s">
        <v>61</v>
      </c>
      <c r="C94" s="160" t="e">
        <f t="shared" si="22"/>
        <v>#N/A</v>
      </c>
      <c r="D94" s="162"/>
      <c r="E94" s="145">
        <v>14</v>
      </c>
      <c r="F94" s="151" t="s">
        <v>61</v>
      </c>
      <c r="G94" s="160" t="e">
        <f t="shared" si="23"/>
        <v>#N/A</v>
      </c>
      <c r="H94" s="162"/>
      <c r="I94" s="145">
        <v>14</v>
      </c>
      <c r="J94" s="151" t="s">
        <v>52</v>
      </c>
      <c r="K94" s="160" t="e">
        <f t="shared" si="24"/>
        <v>#N/A</v>
      </c>
      <c r="L94" s="162"/>
      <c r="M94" s="145">
        <v>14</v>
      </c>
      <c r="N94" s="151" t="s">
        <v>52</v>
      </c>
      <c r="O94" s="160" t="e">
        <f t="shared" si="25"/>
        <v>#N/A</v>
      </c>
    </row>
    <row r="95" spans="1:15" x14ac:dyDescent="0.3">
      <c r="A95" s="145">
        <v>15</v>
      </c>
      <c r="B95" s="151" t="s">
        <v>52</v>
      </c>
      <c r="C95" s="160" t="e">
        <f t="shared" si="22"/>
        <v>#N/A</v>
      </c>
      <c r="D95" s="162"/>
      <c r="E95" s="145">
        <v>15</v>
      </c>
      <c r="F95" s="151" t="s">
        <v>52</v>
      </c>
      <c r="G95" s="160" t="e">
        <f t="shared" si="23"/>
        <v>#N/A</v>
      </c>
      <c r="H95" s="162"/>
      <c r="I95" s="145">
        <v>15</v>
      </c>
      <c r="J95" s="151" t="s">
        <v>57</v>
      </c>
      <c r="K95" s="160" t="e">
        <f t="shared" si="24"/>
        <v>#N/A</v>
      </c>
      <c r="L95" s="162"/>
      <c r="M95" s="145">
        <v>15</v>
      </c>
      <c r="N95" s="151" t="s">
        <v>57</v>
      </c>
      <c r="O95" s="160" t="e">
        <f t="shared" si="25"/>
        <v>#N/A</v>
      </c>
    </row>
    <row r="96" spans="1:15" x14ac:dyDescent="0.3">
      <c r="A96" s="145">
        <v>16</v>
      </c>
      <c r="B96" s="151" t="s">
        <v>57</v>
      </c>
      <c r="C96" s="160" t="e">
        <f t="shared" si="22"/>
        <v>#N/A</v>
      </c>
      <c r="D96" s="162"/>
      <c r="E96" s="145">
        <v>16</v>
      </c>
      <c r="F96" s="151" t="s">
        <v>57</v>
      </c>
      <c r="G96" s="160" t="e">
        <f t="shared" si="23"/>
        <v>#N/A</v>
      </c>
      <c r="H96" s="162"/>
      <c r="I96" s="145">
        <v>16</v>
      </c>
      <c r="J96" s="151" t="s">
        <v>54</v>
      </c>
      <c r="K96" s="160" t="e">
        <f t="shared" si="24"/>
        <v>#N/A</v>
      </c>
      <c r="L96" s="162"/>
      <c r="M96" s="145">
        <v>16</v>
      </c>
      <c r="N96" s="151" t="s">
        <v>54</v>
      </c>
      <c r="O96" s="160" t="e">
        <f t="shared" si="25"/>
        <v>#N/A</v>
      </c>
    </row>
    <row r="97" spans="1:15" x14ac:dyDescent="0.3">
      <c r="A97" s="145">
        <v>17</v>
      </c>
      <c r="B97" s="151" t="s">
        <v>54</v>
      </c>
      <c r="C97" s="160" t="e">
        <f t="shared" si="22"/>
        <v>#N/A</v>
      </c>
      <c r="D97" s="162"/>
      <c r="E97" s="145">
        <v>17</v>
      </c>
      <c r="F97" s="151" t="s">
        <v>54</v>
      </c>
      <c r="G97" s="160" t="e">
        <f t="shared" si="23"/>
        <v>#N/A</v>
      </c>
      <c r="H97" s="162"/>
      <c r="I97" s="146">
        <v>17</v>
      </c>
      <c r="J97" s="154" t="s">
        <v>62</v>
      </c>
      <c r="K97" s="160" t="e">
        <f t="shared" si="24"/>
        <v>#N/A</v>
      </c>
      <c r="L97" s="162"/>
      <c r="M97" s="146">
        <v>17</v>
      </c>
      <c r="N97" s="154" t="s">
        <v>62</v>
      </c>
      <c r="O97" s="160" t="e">
        <f t="shared" si="25"/>
        <v>#N/A</v>
      </c>
    </row>
    <row r="98" spans="1:15" x14ac:dyDescent="0.3">
      <c r="A98" s="146">
        <v>18</v>
      </c>
      <c r="B98" s="154" t="s">
        <v>62</v>
      </c>
      <c r="C98" s="161" t="e">
        <f t="shared" si="22"/>
        <v>#N/A</v>
      </c>
      <c r="D98" s="162"/>
      <c r="E98" s="146">
        <v>18</v>
      </c>
      <c r="F98" s="154" t="s">
        <v>62</v>
      </c>
      <c r="G98" s="161" t="e">
        <f t="shared" si="23"/>
        <v>#N/A</v>
      </c>
      <c r="H98" s="162"/>
    </row>
    <row r="99" spans="1:15" s="41" customFormat="1" x14ac:dyDescent="0.3">
      <c r="B99" s="75"/>
      <c r="C99" s="105"/>
      <c r="D99" s="105"/>
      <c r="E99" s="75"/>
      <c r="F99" s="105"/>
    </row>
    <row r="100" spans="1:15" ht="18" x14ac:dyDescent="0.3">
      <c r="B100" s="106" t="s">
        <v>174</v>
      </c>
      <c r="F100" s="106" t="s">
        <v>175</v>
      </c>
    </row>
    <row r="101" spans="1:15" x14ac:dyDescent="0.3">
      <c r="A101" s="239" t="s">
        <v>75</v>
      </c>
      <c r="B101" s="414" t="s">
        <v>173</v>
      </c>
      <c r="C101" s="415"/>
      <c r="D101" s="240"/>
      <c r="E101" s="241" t="s">
        <v>75</v>
      </c>
      <c r="F101" s="416" t="s">
        <v>4</v>
      </c>
      <c r="G101" s="416"/>
      <c r="H101" s="416" t="s">
        <v>5</v>
      </c>
      <c r="I101" s="416"/>
      <c r="J101" s="416" t="s">
        <v>6</v>
      </c>
      <c r="K101" s="416"/>
      <c r="L101" s="416" t="s">
        <v>7</v>
      </c>
      <c r="M101" s="416"/>
    </row>
    <row r="102" spans="1:15" ht="15" customHeight="1" x14ac:dyDescent="0.3">
      <c r="A102" s="242" t="s">
        <v>53</v>
      </c>
      <c r="B102" s="243" t="s">
        <v>1</v>
      </c>
      <c r="C102" s="244" t="s">
        <v>76</v>
      </c>
      <c r="D102" s="240"/>
      <c r="E102" s="245" t="s">
        <v>53</v>
      </c>
      <c r="F102" s="246" t="s">
        <v>1</v>
      </c>
      <c r="G102" s="247" t="s">
        <v>76</v>
      </c>
      <c r="H102" s="248" t="s">
        <v>1</v>
      </c>
      <c r="I102" s="249" t="s">
        <v>76</v>
      </c>
      <c r="J102" s="250" t="s">
        <v>1</v>
      </c>
      <c r="K102" s="247" t="s">
        <v>76</v>
      </c>
      <c r="L102" s="251" t="s">
        <v>1</v>
      </c>
      <c r="M102" s="249" t="s">
        <v>76</v>
      </c>
      <c r="N102" s="46"/>
    </row>
    <row r="103" spans="1:15" x14ac:dyDescent="0.3">
      <c r="A103" s="252" t="s">
        <v>172</v>
      </c>
      <c r="B103" s="253">
        <f>_xlfn.AGGREGATE(4,6,$K$81:$K$97)</f>
        <v>0</v>
      </c>
      <c r="C103" s="254">
        <f>_xlfn.AGGREGATE(4,6,$O$81:$O$97)</f>
        <v>0</v>
      </c>
      <c r="D103" s="240"/>
      <c r="E103" s="241" t="s">
        <v>172</v>
      </c>
      <c r="F103" s="255">
        <v>0.255</v>
      </c>
      <c r="G103" s="256">
        <v>0.19</v>
      </c>
      <c r="H103" s="255"/>
      <c r="I103" s="256"/>
      <c r="J103" s="257"/>
      <c r="K103" s="256"/>
      <c r="L103" s="258"/>
      <c r="M103" s="256"/>
      <c r="N103" s="46"/>
    </row>
    <row r="104" spans="1:15" x14ac:dyDescent="0.3">
      <c r="A104" s="252" t="s">
        <v>170</v>
      </c>
      <c r="B104" s="253">
        <f>_xlfn.AGGREGATE(5,6,$K$81:$K$97)</f>
        <v>0</v>
      </c>
      <c r="C104" s="254">
        <f>_xlfn.AGGREGATE(5,6,$O$81:$O$97)</f>
        <v>0</v>
      </c>
      <c r="D104" s="240"/>
      <c r="E104" s="241" t="s">
        <v>170</v>
      </c>
      <c r="F104" s="255">
        <v>0</v>
      </c>
      <c r="G104" s="256">
        <v>0</v>
      </c>
      <c r="H104" s="255"/>
      <c r="I104" s="256"/>
      <c r="J104" s="257"/>
      <c r="K104" s="256"/>
      <c r="L104" s="258"/>
      <c r="M104" s="256"/>
      <c r="N104" s="46"/>
    </row>
    <row r="105" spans="1:15" x14ac:dyDescent="0.3">
      <c r="A105" s="259" t="s">
        <v>171</v>
      </c>
      <c r="B105" s="260" t="e">
        <f>_xlfn.AGGREGATE(12,6,$K$81:$K$97)</f>
        <v>#NUM!</v>
      </c>
      <c r="C105" s="261" t="e">
        <f>_xlfn.AGGREGATE(12,6,$O$81:$O$97)</f>
        <v>#NUM!</v>
      </c>
      <c r="D105" s="240"/>
      <c r="E105" s="241" t="s">
        <v>171</v>
      </c>
      <c r="F105" s="262">
        <v>0.04</v>
      </c>
      <c r="G105" s="263">
        <v>0</v>
      </c>
      <c r="H105" s="262"/>
      <c r="I105" s="263"/>
      <c r="J105" s="264"/>
      <c r="K105" s="263"/>
      <c r="L105" s="265"/>
      <c r="M105" s="263"/>
      <c r="N105" s="46"/>
    </row>
    <row r="106" spans="1:15" x14ac:dyDescent="0.3">
      <c r="A106" s="240"/>
      <c r="B106" s="240"/>
      <c r="C106" s="240"/>
      <c r="D106" s="240"/>
      <c r="E106" s="240"/>
      <c r="F106" s="240"/>
      <c r="G106" s="240"/>
      <c r="H106" s="240"/>
      <c r="I106" s="240"/>
      <c r="J106" s="240"/>
      <c r="K106" s="240"/>
      <c r="L106" s="240"/>
      <c r="M106" s="240"/>
    </row>
    <row r="107" spans="1:15" x14ac:dyDescent="0.3">
      <c r="A107" s="250" t="s">
        <v>77</v>
      </c>
      <c r="B107" s="414" t="s">
        <v>173</v>
      </c>
      <c r="C107" s="415"/>
      <c r="D107" s="240"/>
      <c r="E107" s="266" t="s">
        <v>77</v>
      </c>
      <c r="F107" s="416" t="s">
        <v>4</v>
      </c>
      <c r="G107" s="416"/>
      <c r="H107" s="416" t="s">
        <v>5</v>
      </c>
      <c r="I107" s="416"/>
      <c r="J107" s="416" t="s">
        <v>6</v>
      </c>
      <c r="K107" s="416"/>
      <c r="L107" s="416" t="s">
        <v>7</v>
      </c>
      <c r="M107" s="416"/>
    </row>
    <row r="108" spans="1:15" x14ac:dyDescent="0.3">
      <c r="A108" s="267" t="s">
        <v>12</v>
      </c>
      <c r="B108" s="268" t="s">
        <v>1</v>
      </c>
      <c r="C108" s="269" t="s">
        <v>76</v>
      </c>
      <c r="D108" s="240"/>
      <c r="E108" s="266" t="s">
        <v>12</v>
      </c>
      <c r="F108" s="246" t="s">
        <v>1</v>
      </c>
      <c r="G108" s="247" t="s">
        <v>76</v>
      </c>
      <c r="H108" s="248" t="s">
        <v>1</v>
      </c>
      <c r="I108" s="249" t="s">
        <v>76</v>
      </c>
      <c r="J108" s="250" t="s">
        <v>1</v>
      </c>
      <c r="K108" s="247" t="s">
        <v>76</v>
      </c>
      <c r="L108" s="251" t="s">
        <v>1</v>
      </c>
      <c r="M108" s="249" t="s">
        <v>76</v>
      </c>
    </row>
    <row r="109" spans="1:15" x14ac:dyDescent="0.3">
      <c r="A109" s="252" t="s">
        <v>172</v>
      </c>
      <c r="B109" s="253">
        <f>_xlfn.AGGREGATE(4,6,$C$81:$C$98)</f>
        <v>0</v>
      </c>
      <c r="C109" s="254">
        <f>_xlfn.AGGREGATE(4,6,$G$81:$G$98)</f>
        <v>0</v>
      </c>
      <c r="D109" s="240"/>
      <c r="E109" s="241" t="s">
        <v>172</v>
      </c>
      <c r="F109" s="255">
        <v>0.3095</v>
      </c>
      <c r="G109" s="256">
        <v>0.1</v>
      </c>
      <c r="H109" s="255"/>
      <c r="I109" s="256"/>
      <c r="J109" s="257"/>
      <c r="K109" s="256"/>
      <c r="L109" s="258"/>
      <c r="M109" s="256"/>
    </row>
    <row r="110" spans="1:15" x14ac:dyDescent="0.3">
      <c r="A110" s="252" t="s">
        <v>170</v>
      </c>
      <c r="B110" s="253">
        <f>_xlfn.AGGREGATE(5,6,$C$81:$C$98)</f>
        <v>0</v>
      </c>
      <c r="C110" s="254">
        <f>_xlfn.AGGREGATE(5,6,$G$81:$G$98)</f>
        <v>0</v>
      </c>
      <c r="D110" s="240"/>
      <c r="E110" s="241" t="s">
        <v>170</v>
      </c>
      <c r="F110" s="255">
        <v>0</v>
      </c>
      <c r="G110" s="256">
        <v>0</v>
      </c>
      <c r="H110" s="255"/>
      <c r="I110" s="256"/>
      <c r="J110" s="257"/>
      <c r="K110" s="256"/>
      <c r="L110" s="258"/>
      <c r="M110" s="256"/>
    </row>
    <row r="111" spans="1:15" x14ac:dyDescent="0.3">
      <c r="A111" s="259" t="s">
        <v>171</v>
      </c>
      <c r="B111" s="260" t="e">
        <f>_xlfn.AGGREGATE(12,6,$C$81:$C$98)</f>
        <v>#NUM!</v>
      </c>
      <c r="C111" s="261" t="e">
        <f>_xlfn.AGGREGATE(12,6,$G$81:$G$98)</f>
        <v>#NUM!</v>
      </c>
      <c r="D111" s="240"/>
      <c r="E111" s="241" t="s">
        <v>171</v>
      </c>
      <c r="F111" s="262">
        <v>6.3399999999999998E-2</v>
      </c>
      <c r="G111" s="263">
        <v>1.6E-2</v>
      </c>
      <c r="H111" s="262"/>
      <c r="I111" s="263"/>
      <c r="J111" s="264"/>
      <c r="K111" s="263"/>
      <c r="L111" s="265"/>
      <c r="M111" s="263"/>
    </row>
  </sheetData>
  <mergeCells count="10">
    <mergeCell ref="B101:C101"/>
    <mergeCell ref="F101:G101"/>
    <mergeCell ref="H101:I101"/>
    <mergeCell ref="J101:K101"/>
    <mergeCell ref="L101:M101"/>
    <mergeCell ref="B107:C107"/>
    <mergeCell ref="F107:G107"/>
    <mergeCell ref="H107:I107"/>
    <mergeCell ref="J107:K107"/>
    <mergeCell ref="L107:M107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0000"/>
  </sheetPr>
  <dimension ref="A1:P111"/>
  <sheetViews>
    <sheetView topLeftCell="A13" zoomScale="90" zoomScaleNormal="90" workbookViewId="0">
      <selection activeCell="H27" sqref="H27:M27"/>
    </sheetView>
  </sheetViews>
  <sheetFormatPr defaultColWidth="8.6640625" defaultRowHeight="14.4" x14ac:dyDescent="0.3"/>
  <cols>
    <col min="1" max="16" width="12.33203125" style="33" customWidth="1"/>
    <col min="17" max="16384" width="8.6640625" style="33"/>
  </cols>
  <sheetData>
    <row r="1" spans="1:12" ht="23.4" x14ac:dyDescent="0.45">
      <c r="B1" s="164" t="s">
        <v>183</v>
      </c>
    </row>
    <row r="3" spans="1:12" x14ac:dyDescent="0.3">
      <c r="A3" s="195"/>
      <c r="B3" s="34" t="s">
        <v>147</v>
      </c>
      <c r="E3" s="195"/>
    </row>
    <row r="4" spans="1:12" x14ac:dyDescent="0.3">
      <c r="A4" s="195"/>
      <c r="B4" s="34" t="s">
        <v>148</v>
      </c>
      <c r="E4" s="195"/>
    </row>
    <row r="5" spans="1:12" x14ac:dyDescent="0.3">
      <c r="A5" s="195"/>
      <c r="B5" s="34" t="s">
        <v>149</v>
      </c>
      <c r="E5" s="195"/>
    </row>
    <row r="6" spans="1:12" s="101" customFormat="1" ht="21" x14ac:dyDescent="0.4">
      <c r="A6" s="196"/>
      <c r="B6" s="100" t="s">
        <v>106</v>
      </c>
      <c r="E6" s="196"/>
    </row>
    <row r="7" spans="1:12" s="103" customFormat="1" ht="43.5" customHeight="1" x14ac:dyDescent="0.4">
      <c r="A7" s="197"/>
      <c r="B7" s="104" t="s">
        <v>156</v>
      </c>
      <c r="E7" s="197"/>
    </row>
    <row r="8" spans="1:12" x14ac:dyDescent="0.3">
      <c r="B8" s="34" t="s">
        <v>188</v>
      </c>
      <c r="H8" s="195"/>
      <c r="I8" s="198" t="s">
        <v>53</v>
      </c>
      <c r="J8" s="195"/>
      <c r="K8" s="195"/>
      <c r="L8" s="195"/>
    </row>
    <row r="9" spans="1:12" ht="28.8" x14ac:dyDescent="0.3">
      <c r="A9" s="144"/>
      <c r="B9" s="157"/>
      <c r="C9" s="149" t="s">
        <v>9</v>
      </c>
      <c r="D9" s="149" t="s">
        <v>17</v>
      </c>
      <c r="E9" s="150" t="s">
        <v>33</v>
      </c>
      <c r="H9" s="144"/>
      <c r="I9" s="140"/>
      <c r="J9" s="149" t="s">
        <v>9</v>
      </c>
      <c r="K9" s="149" t="s">
        <v>17</v>
      </c>
      <c r="L9" s="150" t="s">
        <v>33</v>
      </c>
    </row>
    <row r="10" spans="1:12" x14ac:dyDescent="0.3">
      <c r="A10" s="145">
        <v>1</v>
      </c>
      <c r="B10" s="151" t="s">
        <v>157</v>
      </c>
      <c r="C10" s="152" t="e">
        <f t="shared" ref="C10:C27" si="0">IF(INDEX(Q4_Paeds,4+$A10,7)="No data",NA(),INDEX(Q4_Paeds,4+$A10,7))</f>
        <v>#N/A</v>
      </c>
      <c r="D10" s="152" t="e">
        <f t="shared" ref="D10:D27" si="1">IF(INDEX(Q4_Paeds,4+$A10,8)="No data",NA(),INDEX(Q4_Paeds,4+$A10,8))</f>
        <v>#N/A</v>
      </c>
      <c r="E10" s="153" t="e">
        <f t="shared" ref="E10:E27" si="2">MAX(C10:D10)</f>
        <v>#N/A</v>
      </c>
      <c r="H10" s="145">
        <v>1</v>
      </c>
      <c r="I10" s="151" t="s">
        <v>157</v>
      </c>
      <c r="J10" s="152" t="e">
        <f t="shared" ref="J10:J26" si="3">IF(INDEX(Q4_Adult,4+$H10,7)="No data",NA(),INDEX(Q4_Adult,4+$H10,7))</f>
        <v>#N/A</v>
      </c>
      <c r="K10" s="152" t="e">
        <f t="shared" ref="K10:K26" si="4">IF(INDEX(Q4_Adult,4+$H10,8)="No data",NA(),INDEX(Q4_Adult,4+$H10,8))</f>
        <v>#N/A</v>
      </c>
      <c r="L10" s="153" t="e">
        <f t="shared" ref="L10:L26" si="5">MAX(J10:K10)</f>
        <v>#N/A</v>
      </c>
    </row>
    <row r="11" spans="1:12" x14ac:dyDescent="0.3">
      <c r="A11" s="145">
        <v>2</v>
      </c>
      <c r="B11" s="151" t="s">
        <v>158</v>
      </c>
      <c r="C11" s="152" t="e">
        <f t="shared" si="0"/>
        <v>#N/A</v>
      </c>
      <c r="D11" s="152" t="e">
        <f t="shared" si="1"/>
        <v>#N/A</v>
      </c>
      <c r="E11" s="153" t="e">
        <f t="shared" si="2"/>
        <v>#N/A</v>
      </c>
      <c r="H11" s="145">
        <v>2</v>
      </c>
      <c r="I11" s="151" t="s">
        <v>158</v>
      </c>
      <c r="J11" s="152" t="e">
        <f t="shared" si="3"/>
        <v>#N/A</v>
      </c>
      <c r="K11" s="152" t="e">
        <f t="shared" si="4"/>
        <v>#N/A</v>
      </c>
      <c r="L11" s="153" t="e">
        <f t="shared" si="5"/>
        <v>#N/A</v>
      </c>
    </row>
    <row r="12" spans="1:12" x14ac:dyDescent="0.3">
      <c r="A12" s="145">
        <v>3</v>
      </c>
      <c r="B12" s="151" t="s">
        <v>159</v>
      </c>
      <c r="C12" s="152" t="e">
        <f t="shared" si="0"/>
        <v>#N/A</v>
      </c>
      <c r="D12" s="152" t="e">
        <f t="shared" si="1"/>
        <v>#N/A</v>
      </c>
      <c r="E12" s="153" t="e">
        <f t="shared" si="2"/>
        <v>#N/A</v>
      </c>
      <c r="H12" s="145">
        <v>3</v>
      </c>
      <c r="I12" s="151" t="s">
        <v>159</v>
      </c>
      <c r="J12" s="152" t="e">
        <f t="shared" si="3"/>
        <v>#N/A</v>
      </c>
      <c r="K12" s="152" t="e">
        <f t="shared" si="4"/>
        <v>#N/A</v>
      </c>
      <c r="L12" s="153" t="e">
        <f t="shared" si="5"/>
        <v>#N/A</v>
      </c>
    </row>
    <row r="13" spans="1:12" x14ac:dyDescent="0.3">
      <c r="A13" s="145">
        <v>4</v>
      </c>
      <c r="B13" s="151" t="s">
        <v>160</v>
      </c>
      <c r="C13" s="152" t="e">
        <f t="shared" si="0"/>
        <v>#N/A</v>
      </c>
      <c r="D13" s="152" t="e">
        <f t="shared" si="1"/>
        <v>#N/A</v>
      </c>
      <c r="E13" s="153" t="e">
        <f t="shared" si="2"/>
        <v>#N/A</v>
      </c>
      <c r="H13" s="145">
        <v>4</v>
      </c>
      <c r="I13" s="151" t="s">
        <v>160</v>
      </c>
      <c r="J13" s="152" t="e">
        <f t="shared" si="3"/>
        <v>#N/A</v>
      </c>
      <c r="K13" s="152" t="e">
        <f t="shared" si="4"/>
        <v>#N/A</v>
      </c>
      <c r="L13" s="153" t="e">
        <f t="shared" si="5"/>
        <v>#N/A</v>
      </c>
    </row>
    <row r="14" spans="1:12" x14ac:dyDescent="0.3">
      <c r="A14" s="145">
        <v>5</v>
      </c>
      <c r="B14" s="151" t="s">
        <v>161</v>
      </c>
      <c r="C14" s="152" t="e">
        <f t="shared" si="0"/>
        <v>#N/A</v>
      </c>
      <c r="D14" s="152" t="e">
        <f t="shared" si="1"/>
        <v>#N/A</v>
      </c>
      <c r="E14" s="153" t="e">
        <f t="shared" si="2"/>
        <v>#N/A</v>
      </c>
      <c r="H14" s="145">
        <v>5</v>
      </c>
      <c r="I14" s="151" t="s">
        <v>161</v>
      </c>
      <c r="J14" s="152" t="e">
        <f t="shared" si="3"/>
        <v>#N/A</v>
      </c>
      <c r="K14" s="152" t="e">
        <f t="shared" si="4"/>
        <v>#N/A</v>
      </c>
      <c r="L14" s="153" t="e">
        <f t="shared" si="5"/>
        <v>#N/A</v>
      </c>
    </row>
    <row r="15" spans="1:12" x14ac:dyDescent="0.3">
      <c r="A15" s="145">
        <v>6</v>
      </c>
      <c r="B15" s="151" t="s">
        <v>165</v>
      </c>
      <c r="C15" s="152" t="e">
        <f t="shared" si="0"/>
        <v>#N/A</v>
      </c>
      <c r="D15" s="152" t="e">
        <f t="shared" si="1"/>
        <v>#N/A</v>
      </c>
      <c r="E15" s="153" t="e">
        <f t="shared" si="2"/>
        <v>#N/A</v>
      </c>
      <c r="H15" s="145">
        <v>6</v>
      </c>
      <c r="I15" s="151" t="s">
        <v>165</v>
      </c>
      <c r="J15" s="152" t="e">
        <f t="shared" si="3"/>
        <v>#N/A</v>
      </c>
      <c r="K15" s="152" t="e">
        <f t="shared" si="4"/>
        <v>#N/A</v>
      </c>
      <c r="L15" s="153" t="e">
        <f t="shared" si="5"/>
        <v>#N/A</v>
      </c>
    </row>
    <row r="16" spans="1:12" x14ac:dyDescent="0.3">
      <c r="A16" s="145">
        <v>7</v>
      </c>
      <c r="B16" s="151" t="s">
        <v>166</v>
      </c>
      <c r="C16" s="152" t="e">
        <f t="shared" si="0"/>
        <v>#N/A</v>
      </c>
      <c r="D16" s="152" t="e">
        <f t="shared" si="1"/>
        <v>#N/A</v>
      </c>
      <c r="E16" s="153" t="e">
        <f t="shared" si="2"/>
        <v>#N/A</v>
      </c>
      <c r="H16" s="145">
        <v>7</v>
      </c>
      <c r="I16" s="151" t="s">
        <v>166</v>
      </c>
      <c r="J16" s="152" t="e">
        <f t="shared" si="3"/>
        <v>#N/A</v>
      </c>
      <c r="K16" s="152" t="e">
        <f t="shared" si="4"/>
        <v>#N/A</v>
      </c>
      <c r="L16" s="153" t="e">
        <f t="shared" si="5"/>
        <v>#N/A</v>
      </c>
    </row>
    <row r="17" spans="1:16" x14ac:dyDescent="0.3">
      <c r="A17" s="145">
        <v>8</v>
      </c>
      <c r="B17" s="151" t="s">
        <v>162</v>
      </c>
      <c r="C17" s="152" t="e">
        <f t="shared" si="0"/>
        <v>#N/A</v>
      </c>
      <c r="D17" s="152" t="e">
        <f t="shared" si="1"/>
        <v>#N/A</v>
      </c>
      <c r="E17" s="153" t="e">
        <f t="shared" si="2"/>
        <v>#N/A</v>
      </c>
      <c r="H17" s="145">
        <v>8</v>
      </c>
      <c r="I17" s="151" t="s">
        <v>162</v>
      </c>
      <c r="J17" s="152" t="e">
        <f t="shared" si="3"/>
        <v>#N/A</v>
      </c>
      <c r="K17" s="152" t="e">
        <f t="shared" si="4"/>
        <v>#N/A</v>
      </c>
      <c r="L17" s="153" t="e">
        <f t="shared" si="5"/>
        <v>#N/A</v>
      </c>
    </row>
    <row r="18" spans="1:16" x14ac:dyDescent="0.3">
      <c r="A18" s="145">
        <v>9</v>
      </c>
      <c r="B18" s="151" t="s">
        <v>58</v>
      </c>
      <c r="C18" s="152" t="e">
        <f t="shared" si="0"/>
        <v>#N/A</v>
      </c>
      <c r="D18" s="152" t="e">
        <f t="shared" si="1"/>
        <v>#N/A</v>
      </c>
      <c r="E18" s="153" t="e">
        <f t="shared" si="2"/>
        <v>#N/A</v>
      </c>
      <c r="H18" s="145">
        <v>9</v>
      </c>
      <c r="I18" s="151" t="s">
        <v>58</v>
      </c>
      <c r="J18" s="152" t="e">
        <f t="shared" si="3"/>
        <v>#N/A</v>
      </c>
      <c r="K18" s="152" t="e">
        <f t="shared" si="4"/>
        <v>#N/A</v>
      </c>
      <c r="L18" s="153" t="e">
        <f t="shared" si="5"/>
        <v>#N/A</v>
      </c>
    </row>
    <row r="19" spans="1:16" x14ac:dyDescent="0.3">
      <c r="A19" s="145">
        <v>10</v>
      </c>
      <c r="B19" s="151" t="s">
        <v>59</v>
      </c>
      <c r="C19" s="152" t="e">
        <f t="shared" si="0"/>
        <v>#N/A</v>
      </c>
      <c r="D19" s="152" t="e">
        <f t="shared" si="1"/>
        <v>#N/A</v>
      </c>
      <c r="E19" s="153" t="e">
        <f t="shared" si="2"/>
        <v>#N/A</v>
      </c>
      <c r="H19" s="145">
        <v>10</v>
      </c>
      <c r="I19" s="151" t="s">
        <v>164</v>
      </c>
      <c r="J19" s="152" t="e">
        <f t="shared" si="3"/>
        <v>#N/A</v>
      </c>
      <c r="K19" s="152" t="e">
        <f t="shared" si="4"/>
        <v>#N/A</v>
      </c>
      <c r="L19" s="153" t="e">
        <f t="shared" si="5"/>
        <v>#N/A</v>
      </c>
    </row>
    <row r="20" spans="1:16" x14ac:dyDescent="0.3">
      <c r="A20" s="145">
        <v>11</v>
      </c>
      <c r="B20" s="151" t="s">
        <v>164</v>
      </c>
      <c r="C20" s="152" t="e">
        <f t="shared" si="0"/>
        <v>#N/A</v>
      </c>
      <c r="D20" s="152" t="e">
        <f t="shared" si="1"/>
        <v>#N/A</v>
      </c>
      <c r="E20" s="153" t="e">
        <f t="shared" si="2"/>
        <v>#N/A</v>
      </c>
      <c r="H20" s="145">
        <v>11</v>
      </c>
      <c r="I20" s="151" t="s">
        <v>60</v>
      </c>
      <c r="J20" s="152" t="e">
        <f t="shared" si="3"/>
        <v>#N/A</v>
      </c>
      <c r="K20" s="152" t="e">
        <f t="shared" si="4"/>
        <v>#N/A</v>
      </c>
      <c r="L20" s="153" t="e">
        <f t="shared" si="5"/>
        <v>#N/A</v>
      </c>
    </row>
    <row r="21" spans="1:16" x14ac:dyDescent="0.3">
      <c r="A21" s="145">
        <v>12</v>
      </c>
      <c r="B21" s="151" t="s">
        <v>60</v>
      </c>
      <c r="C21" s="152" t="e">
        <f t="shared" si="0"/>
        <v>#N/A</v>
      </c>
      <c r="D21" s="152" t="e">
        <f t="shared" si="1"/>
        <v>#N/A</v>
      </c>
      <c r="E21" s="153" t="e">
        <f t="shared" si="2"/>
        <v>#N/A</v>
      </c>
      <c r="H21" s="145">
        <v>12</v>
      </c>
      <c r="I21" s="151" t="s">
        <v>56</v>
      </c>
      <c r="J21" s="152" t="e">
        <f t="shared" si="3"/>
        <v>#N/A</v>
      </c>
      <c r="K21" s="152" t="e">
        <f t="shared" si="4"/>
        <v>#N/A</v>
      </c>
      <c r="L21" s="153" t="e">
        <f t="shared" si="5"/>
        <v>#N/A</v>
      </c>
      <c r="P21" s="33" t="s">
        <v>55</v>
      </c>
    </row>
    <row r="22" spans="1:16" x14ac:dyDescent="0.3">
      <c r="A22" s="145">
        <v>13</v>
      </c>
      <c r="B22" s="151" t="s">
        <v>56</v>
      </c>
      <c r="C22" s="152" t="e">
        <f t="shared" si="0"/>
        <v>#N/A</v>
      </c>
      <c r="D22" s="152" t="e">
        <f t="shared" si="1"/>
        <v>#N/A</v>
      </c>
      <c r="E22" s="153" t="e">
        <f t="shared" si="2"/>
        <v>#N/A</v>
      </c>
      <c r="H22" s="145">
        <v>13</v>
      </c>
      <c r="I22" s="151" t="s">
        <v>61</v>
      </c>
      <c r="J22" s="152" t="e">
        <f t="shared" si="3"/>
        <v>#N/A</v>
      </c>
      <c r="K22" s="152" t="e">
        <f t="shared" si="4"/>
        <v>#N/A</v>
      </c>
      <c r="L22" s="153" t="e">
        <f t="shared" si="5"/>
        <v>#N/A</v>
      </c>
    </row>
    <row r="23" spans="1:16" x14ac:dyDescent="0.3">
      <c r="A23" s="145">
        <v>14</v>
      </c>
      <c r="B23" s="151" t="s">
        <v>61</v>
      </c>
      <c r="C23" s="152" t="e">
        <f t="shared" si="0"/>
        <v>#N/A</v>
      </c>
      <c r="D23" s="152" t="e">
        <f t="shared" si="1"/>
        <v>#N/A</v>
      </c>
      <c r="E23" s="153" t="e">
        <f t="shared" si="2"/>
        <v>#N/A</v>
      </c>
      <c r="H23" s="145">
        <v>14</v>
      </c>
      <c r="I23" s="151" t="s">
        <v>52</v>
      </c>
      <c r="J23" s="152" t="e">
        <f t="shared" si="3"/>
        <v>#N/A</v>
      </c>
      <c r="K23" s="152" t="e">
        <f t="shared" si="4"/>
        <v>#N/A</v>
      </c>
      <c r="L23" s="153" t="e">
        <f t="shared" si="5"/>
        <v>#N/A</v>
      </c>
    </row>
    <row r="24" spans="1:16" x14ac:dyDescent="0.3">
      <c r="A24" s="145">
        <v>15</v>
      </c>
      <c r="B24" s="151" t="s">
        <v>52</v>
      </c>
      <c r="C24" s="152" t="e">
        <f t="shared" si="0"/>
        <v>#N/A</v>
      </c>
      <c r="D24" s="152" t="e">
        <f t="shared" si="1"/>
        <v>#N/A</v>
      </c>
      <c r="E24" s="153" t="e">
        <f t="shared" si="2"/>
        <v>#N/A</v>
      </c>
      <c r="H24" s="145">
        <v>15</v>
      </c>
      <c r="I24" s="151" t="s">
        <v>57</v>
      </c>
      <c r="J24" s="152" t="e">
        <f t="shared" si="3"/>
        <v>#N/A</v>
      </c>
      <c r="K24" s="152" t="e">
        <f t="shared" si="4"/>
        <v>#N/A</v>
      </c>
      <c r="L24" s="153" t="e">
        <f t="shared" si="5"/>
        <v>#N/A</v>
      </c>
    </row>
    <row r="25" spans="1:16" x14ac:dyDescent="0.3">
      <c r="A25" s="145">
        <v>16</v>
      </c>
      <c r="B25" s="151" t="s">
        <v>57</v>
      </c>
      <c r="C25" s="152" t="e">
        <f t="shared" si="0"/>
        <v>#N/A</v>
      </c>
      <c r="D25" s="152" t="e">
        <f t="shared" si="1"/>
        <v>#N/A</v>
      </c>
      <c r="E25" s="153" t="e">
        <f t="shared" si="2"/>
        <v>#N/A</v>
      </c>
      <c r="H25" s="145">
        <v>16</v>
      </c>
      <c r="I25" s="151" t="s">
        <v>54</v>
      </c>
      <c r="J25" s="152" t="e">
        <f t="shared" si="3"/>
        <v>#N/A</v>
      </c>
      <c r="K25" s="152" t="e">
        <f t="shared" si="4"/>
        <v>#N/A</v>
      </c>
      <c r="L25" s="153" t="e">
        <f t="shared" si="5"/>
        <v>#N/A</v>
      </c>
    </row>
    <row r="26" spans="1:16" x14ac:dyDescent="0.3">
      <c r="A26" s="145">
        <v>17</v>
      </c>
      <c r="B26" s="151" t="s">
        <v>54</v>
      </c>
      <c r="C26" s="152" t="e">
        <f t="shared" si="0"/>
        <v>#N/A</v>
      </c>
      <c r="D26" s="152" t="e">
        <f t="shared" si="1"/>
        <v>#N/A</v>
      </c>
      <c r="E26" s="153" t="e">
        <f t="shared" si="2"/>
        <v>#N/A</v>
      </c>
      <c r="H26" s="146">
        <v>17</v>
      </c>
      <c r="I26" s="154" t="s">
        <v>62</v>
      </c>
      <c r="J26" s="152" t="e">
        <f t="shared" si="3"/>
        <v>#N/A</v>
      </c>
      <c r="K26" s="152" t="e">
        <f t="shared" si="4"/>
        <v>#N/A</v>
      </c>
      <c r="L26" s="153" t="e">
        <f t="shared" si="5"/>
        <v>#N/A</v>
      </c>
    </row>
    <row r="27" spans="1:16" x14ac:dyDescent="0.3">
      <c r="A27" s="146">
        <v>18</v>
      </c>
      <c r="B27" s="154" t="s">
        <v>62</v>
      </c>
      <c r="C27" s="155" t="e">
        <f t="shared" si="0"/>
        <v>#N/A</v>
      </c>
      <c r="D27" s="155" t="e">
        <f t="shared" si="1"/>
        <v>#N/A</v>
      </c>
      <c r="E27" s="156" t="e">
        <f t="shared" si="2"/>
        <v>#N/A</v>
      </c>
    </row>
    <row r="31" spans="1:16" s="102" customFormat="1" ht="18" x14ac:dyDescent="0.35">
      <c r="B31" s="102" t="s">
        <v>107</v>
      </c>
    </row>
    <row r="32" spans="1:16" s="103" customFormat="1" ht="43.5" customHeight="1" x14ac:dyDescent="0.4">
      <c r="B32" s="104" t="s">
        <v>156</v>
      </c>
    </row>
    <row r="33" spans="1:13" x14ac:dyDescent="0.3">
      <c r="B33" s="45"/>
      <c r="C33" s="231"/>
      <c r="D33" s="45"/>
      <c r="E33" s="45"/>
      <c r="F33" s="45"/>
      <c r="G33" s="45"/>
      <c r="H33" s="45"/>
      <c r="I33" s="45"/>
      <c r="J33" s="45"/>
      <c r="K33" s="45"/>
      <c r="L33" s="45"/>
      <c r="M33" s="45"/>
    </row>
    <row r="34" spans="1:13" ht="15" customHeight="1" x14ac:dyDescent="0.3">
      <c r="A34" s="41"/>
      <c r="B34" s="136" t="s">
        <v>72</v>
      </c>
      <c r="C34" s="41"/>
      <c r="D34" s="41"/>
      <c r="E34" s="41"/>
      <c r="F34" s="136"/>
      <c r="G34" s="136"/>
      <c r="H34" s="45"/>
      <c r="I34" s="136" t="s">
        <v>70</v>
      </c>
      <c r="J34" s="138"/>
      <c r="K34" s="139"/>
      <c r="L34" s="139"/>
      <c r="M34" s="139"/>
    </row>
    <row r="35" spans="1:13" x14ac:dyDescent="0.3">
      <c r="A35" s="144"/>
      <c r="B35" s="140"/>
      <c r="C35" s="140" t="s">
        <v>93</v>
      </c>
      <c r="D35" s="140" t="s">
        <v>94</v>
      </c>
      <c r="E35" s="140" t="s">
        <v>36</v>
      </c>
      <c r="F35" s="141" t="s">
        <v>185</v>
      </c>
      <c r="G35" s="136"/>
      <c r="H35" s="144"/>
      <c r="I35" s="140"/>
      <c r="J35" s="140" t="s">
        <v>93</v>
      </c>
      <c r="K35" s="140" t="s">
        <v>94</v>
      </c>
      <c r="L35" s="140" t="s">
        <v>36</v>
      </c>
      <c r="M35" s="141" t="s">
        <v>185</v>
      </c>
    </row>
    <row r="36" spans="1:13" x14ac:dyDescent="0.3">
      <c r="A36" s="145">
        <v>1</v>
      </c>
      <c r="B36" s="151" t="s">
        <v>157</v>
      </c>
      <c r="C36" s="152" t="e">
        <f t="shared" ref="C36:C53" si="6">IF(INDEX(Q4_Paeds,4+$A36,10)="No data",NA(),INDEX(Q4_Paeds,4+$A36,10))</f>
        <v>#N/A</v>
      </c>
      <c r="D36" s="152" t="e">
        <f t="shared" ref="D36:D53" si="7">IF(INDEX(Q4_Paeds,4+$A36,11)="No data",NA(),INDEX(Q4_Paeds,4+$A36,11))</f>
        <v>#N/A</v>
      </c>
      <c r="E36" s="152" t="e">
        <f t="shared" ref="E36:E53" si="8">IF(INDEX(Q4_Paeds,4+$A36,12)="No data",NA(),INDEX(Q4_Paeds,4+$A36,12))</f>
        <v>#N/A</v>
      </c>
      <c r="F36" s="142" t="e">
        <f t="shared" ref="F36:F53" si="9">SUM(C36:E36)</f>
        <v>#N/A</v>
      </c>
      <c r="G36" s="137"/>
      <c r="H36" s="145">
        <v>1</v>
      </c>
      <c r="I36" s="151" t="s">
        <v>157</v>
      </c>
      <c r="J36" s="152" t="e">
        <f t="shared" ref="J36:J52" si="10">IF(INDEX(Q4_Adult,4+$H36,10)="No data",NA(),INDEX(Q4_Adult,4+$H36,10))</f>
        <v>#N/A</v>
      </c>
      <c r="K36" s="152" t="e">
        <f t="shared" ref="K36:K52" si="11">IF(INDEX(Q4_Adult,4+$H36,11)="No data",NA(),INDEX(Q4_Adult,4+$H36,11))</f>
        <v>#N/A</v>
      </c>
      <c r="L36" s="152" t="e">
        <f t="shared" ref="L36:L52" si="12">IF(INDEX(Q4_Adult,4+$H36,12)="No data",NA(),INDEX(Q4_Adult,4+$H36,12))</f>
        <v>#N/A</v>
      </c>
      <c r="M36" s="142" t="e">
        <f t="shared" ref="M36:M52" si="13">SUM(J36:L36)</f>
        <v>#N/A</v>
      </c>
    </row>
    <row r="37" spans="1:13" x14ac:dyDescent="0.3">
      <c r="A37" s="145">
        <v>2</v>
      </c>
      <c r="B37" s="151" t="s">
        <v>158</v>
      </c>
      <c r="C37" s="152" t="e">
        <f t="shared" si="6"/>
        <v>#N/A</v>
      </c>
      <c r="D37" s="152" t="e">
        <f t="shared" si="7"/>
        <v>#N/A</v>
      </c>
      <c r="E37" s="152" t="e">
        <f t="shared" si="8"/>
        <v>#N/A</v>
      </c>
      <c r="F37" s="142" t="e">
        <f t="shared" si="9"/>
        <v>#N/A</v>
      </c>
      <c r="G37" s="137"/>
      <c r="H37" s="145">
        <v>2</v>
      </c>
      <c r="I37" s="151" t="s">
        <v>158</v>
      </c>
      <c r="J37" s="152" t="e">
        <f t="shared" si="10"/>
        <v>#N/A</v>
      </c>
      <c r="K37" s="152" t="e">
        <f t="shared" si="11"/>
        <v>#N/A</v>
      </c>
      <c r="L37" s="152" t="e">
        <f t="shared" si="12"/>
        <v>#N/A</v>
      </c>
      <c r="M37" s="142" t="e">
        <f t="shared" si="13"/>
        <v>#N/A</v>
      </c>
    </row>
    <row r="38" spans="1:13" x14ac:dyDescent="0.3">
      <c r="A38" s="145">
        <v>3</v>
      </c>
      <c r="B38" s="151" t="s">
        <v>159</v>
      </c>
      <c r="C38" s="152" t="e">
        <f t="shared" si="6"/>
        <v>#N/A</v>
      </c>
      <c r="D38" s="152" t="e">
        <f t="shared" si="7"/>
        <v>#N/A</v>
      </c>
      <c r="E38" s="152" t="e">
        <f t="shared" si="8"/>
        <v>#N/A</v>
      </c>
      <c r="F38" s="142" t="e">
        <f t="shared" si="9"/>
        <v>#N/A</v>
      </c>
      <c r="G38" s="137"/>
      <c r="H38" s="145">
        <v>3</v>
      </c>
      <c r="I38" s="151" t="s">
        <v>159</v>
      </c>
      <c r="J38" s="152" t="e">
        <f t="shared" si="10"/>
        <v>#N/A</v>
      </c>
      <c r="K38" s="152" t="e">
        <f t="shared" si="11"/>
        <v>#N/A</v>
      </c>
      <c r="L38" s="152" t="e">
        <f t="shared" si="12"/>
        <v>#N/A</v>
      </c>
      <c r="M38" s="142" t="e">
        <f t="shared" si="13"/>
        <v>#N/A</v>
      </c>
    </row>
    <row r="39" spans="1:13" x14ac:dyDescent="0.3">
      <c r="A39" s="145">
        <v>4</v>
      </c>
      <c r="B39" s="151" t="s">
        <v>160</v>
      </c>
      <c r="C39" s="152" t="e">
        <f t="shared" si="6"/>
        <v>#N/A</v>
      </c>
      <c r="D39" s="152" t="e">
        <f t="shared" si="7"/>
        <v>#N/A</v>
      </c>
      <c r="E39" s="152" t="e">
        <f t="shared" si="8"/>
        <v>#N/A</v>
      </c>
      <c r="F39" s="142" t="e">
        <f t="shared" si="9"/>
        <v>#N/A</v>
      </c>
      <c r="G39" s="137"/>
      <c r="H39" s="145">
        <v>4</v>
      </c>
      <c r="I39" s="151" t="s">
        <v>160</v>
      </c>
      <c r="J39" s="152" t="e">
        <f t="shared" si="10"/>
        <v>#N/A</v>
      </c>
      <c r="K39" s="152" t="e">
        <f t="shared" si="11"/>
        <v>#N/A</v>
      </c>
      <c r="L39" s="152" t="e">
        <f t="shared" si="12"/>
        <v>#N/A</v>
      </c>
      <c r="M39" s="142" t="e">
        <f t="shared" si="13"/>
        <v>#N/A</v>
      </c>
    </row>
    <row r="40" spans="1:13" x14ac:dyDescent="0.3">
      <c r="A40" s="145">
        <v>5</v>
      </c>
      <c r="B40" s="151" t="s">
        <v>161</v>
      </c>
      <c r="C40" s="152" t="e">
        <f t="shared" si="6"/>
        <v>#N/A</v>
      </c>
      <c r="D40" s="152" t="e">
        <f t="shared" si="7"/>
        <v>#N/A</v>
      </c>
      <c r="E40" s="152" t="e">
        <f t="shared" si="8"/>
        <v>#N/A</v>
      </c>
      <c r="F40" s="142" t="e">
        <f t="shared" si="9"/>
        <v>#N/A</v>
      </c>
      <c r="G40" s="137"/>
      <c r="H40" s="145">
        <v>5</v>
      </c>
      <c r="I40" s="151" t="s">
        <v>161</v>
      </c>
      <c r="J40" s="152" t="e">
        <f t="shared" si="10"/>
        <v>#N/A</v>
      </c>
      <c r="K40" s="152" t="e">
        <f t="shared" si="11"/>
        <v>#N/A</v>
      </c>
      <c r="L40" s="152" t="e">
        <f t="shared" si="12"/>
        <v>#N/A</v>
      </c>
      <c r="M40" s="142" t="e">
        <f t="shared" si="13"/>
        <v>#N/A</v>
      </c>
    </row>
    <row r="41" spans="1:13" x14ac:dyDescent="0.3">
      <c r="A41" s="145">
        <v>6</v>
      </c>
      <c r="B41" s="151" t="s">
        <v>165</v>
      </c>
      <c r="C41" s="152" t="e">
        <f t="shared" si="6"/>
        <v>#N/A</v>
      </c>
      <c r="D41" s="152" t="e">
        <f t="shared" si="7"/>
        <v>#N/A</v>
      </c>
      <c r="E41" s="152" t="e">
        <f t="shared" si="8"/>
        <v>#N/A</v>
      </c>
      <c r="F41" s="142" t="e">
        <f t="shared" si="9"/>
        <v>#N/A</v>
      </c>
      <c r="G41" s="137"/>
      <c r="H41" s="145">
        <v>6</v>
      </c>
      <c r="I41" s="151" t="s">
        <v>165</v>
      </c>
      <c r="J41" s="152" t="e">
        <f t="shared" si="10"/>
        <v>#N/A</v>
      </c>
      <c r="K41" s="152" t="e">
        <f t="shared" si="11"/>
        <v>#N/A</v>
      </c>
      <c r="L41" s="152" t="e">
        <f t="shared" si="12"/>
        <v>#N/A</v>
      </c>
      <c r="M41" s="142" t="e">
        <f t="shared" si="13"/>
        <v>#N/A</v>
      </c>
    </row>
    <row r="42" spans="1:13" x14ac:dyDescent="0.3">
      <c r="A42" s="145">
        <v>7</v>
      </c>
      <c r="B42" s="151" t="s">
        <v>166</v>
      </c>
      <c r="C42" s="152" t="e">
        <f t="shared" si="6"/>
        <v>#N/A</v>
      </c>
      <c r="D42" s="152" t="e">
        <f t="shared" si="7"/>
        <v>#N/A</v>
      </c>
      <c r="E42" s="152" t="e">
        <f t="shared" si="8"/>
        <v>#N/A</v>
      </c>
      <c r="F42" s="142" t="e">
        <f t="shared" si="9"/>
        <v>#N/A</v>
      </c>
      <c r="G42" s="137"/>
      <c r="H42" s="145">
        <v>7</v>
      </c>
      <c r="I42" s="151" t="s">
        <v>166</v>
      </c>
      <c r="J42" s="152" t="e">
        <f t="shared" si="10"/>
        <v>#N/A</v>
      </c>
      <c r="K42" s="152" t="e">
        <f t="shared" si="11"/>
        <v>#N/A</v>
      </c>
      <c r="L42" s="152" t="e">
        <f t="shared" si="12"/>
        <v>#N/A</v>
      </c>
      <c r="M42" s="142" t="e">
        <f t="shared" si="13"/>
        <v>#N/A</v>
      </c>
    </row>
    <row r="43" spans="1:13" x14ac:dyDescent="0.3">
      <c r="A43" s="145">
        <v>8</v>
      </c>
      <c r="B43" s="151" t="s">
        <v>162</v>
      </c>
      <c r="C43" s="152" t="e">
        <f t="shared" si="6"/>
        <v>#N/A</v>
      </c>
      <c r="D43" s="152" t="e">
        <f t="shared" si="7"/>
        <v>#N/A</v>
      </c>
      <c r="E43" s="152" t="e">
        <f t="shared" si="8"/>
        <v>#N/A</v>
      </c>
      <c r="F43" s="142" t="e">
        <f t="shared" si="9"/>
        <v>#N/A</v>
      </c>
      <c r="G43" s="137"/>
      <c r="H43" s="145">
        <v>8</v>
      </c>
      <c r="I43" s="151" t="s">
        <v>162</v>
      </c>
      <c r="J43" s="152" t="e">
        <f t="shared" si="10"/>
        <v>#N/A</v>
      </c>
      <c r="K43" s="152" t="e">
        <f t="shared" si="11"/>
        <v>#N/A</v>
      </c>
      <c r="L43" s="152" t="e">
        <f t="shared" si="12"/>
        <v>#N/A</v>
      </c>
      <c r="M43" s="142" t="e">
        <f t="shared" si="13"/>
        <v>#N/A</v>
      </c>
    </row>
    <row r="44" spans="1:13" x14ac:dyDescent="0.3">
      <c r="A44" s="145">
        <v>9</v>
      </c>
      <c r="B44" s="151" t="s">
        <v>58</v>
      </c>
      <c r="C44" s="152" t="e">
        <f t="shared" si="6"/>
        <v>#N/A</v>
      </c>
      <c r="D44" s="152" t="e">
        <f t="shared" si="7"/>
        <v>#N/A</v>
      </c>
      <c r="E44" s="152" t="e">
        <f t="shared" si="8"/>
        <v>#N/A</v>
      </c>
      <c r="F44" s="142" t="e">
        <f t="shared" si="9"/>
        <v>#N/A</v>
      </c>
      <c r="G44" s="137"/>
      <c r="H44" s="145">
        <v>9</v>
      </c>
      <c r="I44" s="151" t="s">
        <v>58</v>
      </c>
      <c r="J44" s="152" t="e">
        <f t="shared" si="10"/>
        <v>#N/A</v>
      </c>
      <c r="K44" s="152" t="e">
        <f t="shared" si="11"/>
        <v>#N/A</v>
      </c>
      <c r="L44" s="152" t="e">
        <f t="shared" si="12"/>
        <v>#N/A</v>
      </c>
      <c r="M44" s="142" t="e">
        <f t="shared" si="13"/>
        <v>#N/A</v>
      </c>
    </row>
    <row r="45" spans="1:13" x14ac:dyDescent="0.3">
      <c r="A45" s="145">
        <v>10</v>
      </c>
      <c r="B45" s="151" t="s">
        <v>59</v>
      </c>
      <c r="C45" s="152" t="e">
        <f t="shared" si="6"/>
        <v>#N/A</v>
      </c>
      <c r="D45" s="152" t="e">
        <f t="shared" si="7"/>
        <v>#N/A</v>
      </c>
      <c r="E45" s="152" t="e">
        <f t="shared" si="8"/>
        <v>#N/A</v>
      </c>
      <c r="F45" s="142" t="e">
        <f t="shared" si="9"/>
        <v>#N/A</v>
      </c>
      <c r="G45" s="137"/>
      <c r="H45" s="145">
        <v>10</v>
      </c>
      <c r="I45" s="151" t="s">
        <v>164</v>
      </c>
      <c r="J45" s="152" t="e">
        <f t="shared" si="10"/>
        <v>#N/A</v>
      </c>
      <c r="K45" s="152" t="e">
        <f t="shared" si="11"/>
        <v>#N/A</v>
      </c>
      <c r="L45" s="152" t="e">
        <f t="shared" si="12"/>
        <v>#N/A</v>
      </c>
      <c r="M45" s="142" t="e">
        <f t="shared" si="13"/>
        <v>#N/A</v>
      </c>
    </row>
    <row r="46" spans="1:13" x14ac:dyDescent="0.3">
      <c r="A46" s="145">
        <v>11</v>
      </c>
      <c r="B46" s="151" t="s">
        <v>164</v>
      </c>
      <c r="C46" s="152" t="e">
        <f t="shared" si="6"/>
        <v>#N/A</v>
      </c>
      <c r="D46" s="152" t="e">
        <f t="shared" si="7"/>
        <v>#N/A</v>
      </c>
      <c r="E46" s="152" t="e">
        <f t="shared" si="8"/>
        <v>#N/A</v>
      </c>
      <c r="F46" s="142" t="e">
        <f t="shared" si="9"/>
        <v>#N/A</v>
      </c>
      <c r="G46" s="137"/>
      <c r="H46" s="145">
        <v>11</v>
      </c>
      <c r="I46" s="151" t="s">
        <v>60</v>
      </c>
      <c r="J46" s="152" t="e">
        <f t="shared" si="10"/>
        <v>#N/A</v>
      </c>
      <c r="K46" s="152" t="e">
        <f t="shared" si="11"/>
        <v>#N/A</v>
      </c>
      <c r="L46" s="152" t="e">
        <f t="shared" si="12"/>
        <v>#N/A</v>
      </c>
      <c r="M46" s="142" t="e">
        <f t="shared" si="13"/>
        <v>#N/A</v>
      </c>
    </row>
    <row r="47" spans="1:13" x14ac:dyDescent="0.3">
      <c r="A47" s="145">
        <v>12</v>
      </c>
      <c r="B47" s="151" t="s">
        <v>60</v>
      </c>
      <c r="C47" s="152" t="e">
        <f t="shared" si="6"/>
        <v>#N/A</v>
      </c>
      <c r="D47" s="152" t="e">
        <f t="shared" si="7"/>
        <v>#N/A</v>
      </c>
      <c r="E47" s="152" t="e">
        <f t="shared" si="8"/>
        <v>#N/A</v>
      </c>
      <c r="F47" s="142" t="e">
        <f t="shared" si="9"/>
        <v>#N/A</v>
      </c>
      <c r="G47" s="137"/>
      <c r="H47" s="145">
        <v>12</v>
      </c>
      <c r="I47" s="151" t="s">
        <v>56</v>
      </c>
      <c r="J47" s="152" t="e">
        <f t="shared" si="10"/>
        <v>#N/A</v>
      </c>
      <c r="K47" s="152" t="e">
        <f t="shared" si="11"/>
        <v>#N/A</v>
      </c>
      <c r="L47" s="152" t="e">
        <f t="shared" si="12"/>
        <v>#N/A</v>
      </c>
      <c r="M47" s="142" t="e">
        <f t="shared" si="13"/>
        <v>#N/A</v>
      </c>
    </row>
    <row r="48" spans="1:13" x14ac:dyDescent="0.3">
      <c r="A48" s="145">
        <v>13</v>
      </c>
      <c r="B48" s="151" t="s">
        <v>56</v>
      </c>
      <c r="C48" s="152" t="e">
        <f t="shared" si="6"/>
        <v>#N/A</v>
      </c>
      <c r="D48" s="152" t="e">
        <f t="shared" si="7"/>
        <v>#N/A</v>
      </c>
      <c r="E48" s="152" t="e">
        <f t="shared" si="8"/>
        <v>#N/A</v>
      </c>
      <c r="F48" s="142" t="e">
        <f t="shared" si="9"/>
        <v>#N/A</v>
      </c>
      <c r="G48" s="137"/>
      <c r="H48" s="145">
        <v>13</v>
      </c>
      <c r="I48" s="151" t="s">
        <v>61</v>
      </c>
      <c r="J48" s="152" t="e">
        <f t="shared" si="10"/>
        <v>#N/A</v>
      </c>
      <c r="K48" s="152" t="e">
        <f t="shared" si="11"/>
        <v>#N/A</v>
      </c>
      <c r="L48" s="152" t="e">
        <f t="shared" si="12"/>
        <v>#N/A</v>
      </c>
      <c r="M48" s="142" t="e">
        <f t="shared" si="13"/>
        <v>#N/A</v>
      </c>
    </row>
    <row r="49" spans="1:13" x14ac:dyDescent="0.3">
      <c r="A49" s="145">
        <v>14</v>
      </c>
      <c r="B49" s="151" t="s">
        <v>61</v>
      </c>
      <c r="C49" s="152" t="e">
        <f t="shared" si="6"/>
        <v>#N/A</v>
      </c>
      <c r="D49" s="152" t="e">
        <f t="shared" si="7"/>
        <v>#N/A</v>
      </c>
      <c r="E49" s="152" t="e">
        <f t="shared" si="8"/>
        <v>#N/A</v>
      </c>
      <c r="F49" s="142" t="e">
        <f t="shared" si="9"/>
        <v>#N/A</v>
      </c>
      <c r="G49" s="137"/>
      <c r="H49" s="145">
        <v>14</v>
      </c>
      <c r="I49" s="151" t="s">
        <v>52</v>
      </c>
      <c r="J49" s="152" t="e">
        <f t="shared" si="10"/>
        <v>#N/A</v>
      </c>
      <c r="K49" s="152" t="e">
        <f t="shared" si="11"/>
        <v>#N/A</v>
      </c>
      <c r="L49" s="152" t="e">
        <f t="shared" si="12"/>
        <v>#N/A</v>
      </c>
      <c r="M49" s="142" t="e">
        <f t="shared" si="13"/>
        <v>#N/A</v>
      </c>
    </row>
    <row r="50" spans="1:13" x14ac:dyDescent="0.3">
      <c r="A50" s="145">
        <v>15</v>
      </c>
      <c r="B50" s="151" t="s">
        <v>52</v>
      </c>
      <c r="C50" s="152" t="e">
        <f t="shared" si="6"/>
        <v>#N/A</v>
      </c>
      <c r="D50" s="152" t="e">
        <f t="shared" si="7"/>
        <v>#N/A</v>
      </c>
      <c r="E50" s="152" t="e">
        <f t="shared" si="8"/>
        <v>#N/A</v>
      </c>
      <c r="F50" s="142" t="e">
        <f t="shared" si="9"/>
        <v>#N/A</v>
      </c>
      <c r="G50" s="137"/>
      <c r="H50" s="145">
        <v>15</v>
      </c>
      <c r="I50" s="151" t="s">
        <v>57</v>
      </c>
      <c r="J50" s="152" t="e">
        <f t="shared" si="10"/>
        <v>#N/A</v>
      </c>
      <c r="K50" s="152" t="e">
        <f t="shared" si="11"/>
        <v>#N/A</v>
      </c>
      <c r="L50" s="152" t="e">
        <f t="shared" si="12"/>
        <v>#N/A</v>
      </c>
      <c r="M50" s="142" t="e">
        <f t="shared" si="13"/>
        <v>#N/A</v>
      </c>
    </row>
    <row r="51" spans="1:13" x14ac:dyDescent="0.3">
      <c r="A51" s="145">
        <v>16</v>
      </c>
      <c r="B51" s="151" t="s">
        <v>57</v>
      </c>
      <c r="C51" s="152" t="e">
        <f t="shared" si="6"/>
        <v>#N/A</v>
      </c>
      <c r="D51" s="152" t="e">
        <f t="shared" si="7"/>
        <v>#N/A</v>
      </c>
      <c r="E51" s="152" t="e">
        <f t="shared" si="8"/>
        <v>#N/A</v>
      </c>
      <c r="F51" s="142" t="e">
        <f t="shared" si="9"/>
        <v>#N/A</v>
      </c>
      <c r="G51" s="137"/>
      <c r="H51" s="145">
        <v>16</v>
      </c>
      <c r="I51" s="151" t="s">
        <v>54</v>
      </c>
      <c r="J51" s="152" t="e">
        <f t="shared" si="10"/>
        <v>#N/A</v>
      </c>
      <c r="K51" s="152" t="e">
        <f t="shared" si="11"/>
        <v>#N/A</v>
      </c>
      <c r="L51" s="152" t="e">
        <f t="shared" si="12"/>
        <v>#N/A</v>
      </c>
      <c r="M51" s="142" t="e">
        <f t="shared" si="13"/>
        <v>#N/A</v>
      </c>
    </row>
    <row r="52" spans="1:13" x14ac:dyDescent="0.3">
      <c r="A52" s="145">
        <v>17</v>
      </c>
      <c r="B52" s="151" t="s">
        <v>54</v>
      </c>
      <c r="C52" s="152" t="e">
        <f t="shared" si="6"/>
        <v>#N/A</v>
      </c>
      <c r="D52" s="152" t="e">
        <f t="shared" si="7"/>
        <v>#N/A</v>
      </c>
      <c r="E52" s="152" t="e">
        <f t="shared" si="8"/>
        <v>#N/A</v>
      </c>
      <c r="F52" s="142" t="e">
        <f t="shared" si="9"/>
        <v>#N/A</v>
      </c>
      <c r="G52" s="137"/>
      <c r="H52" s="146">
        <v>17</v>
      </c>
      <c r="I52" s="154" t="s">
        <v>62</v>
      </c>
      <c r="J52" s="152" t="e">
        <f t="shared" si="10"/>
        <v>#N/A</v>
      </c>
      <c r="K52" s="152" t="e">
        <f t="shared" si="11"/>
        <v>#N/A</v>
      </c>
      <c r="L52" s="152" t="e">
        <f t="shared" si="12"/>
        <v>#N/A</v>
      </c>
      <c r="M52" s="142" t="e">
        <f t="shared" si="13"/>
        <v>#N/A</v>
      </c>
    </row>
    <row r="53" spans="1:13" x14ac:dyDescent="0.3">
      <c r="A53" s="146">
        <v>18</v>
      </c>
      <c r="B53" s="154" t="s">
        <v>62</v>
      </c>
      <c r="C53" s="155" t="e">
        <f t="shared" si="6"/>
        <v>#N/A</v>
      </c>
      <c r="D53" s="155" t="e">
        <f t="shared" si="7"/>
        <v>#N/A</v>
      </c>
      <c r="E53" s="155" t="e">
        <f t="shared" si="8"/>
        <v>#N/A</v>
      </c>
      <c r="F53" s="143" t="e">
        <f t="shared" si="9"/>
        <v>#N/A</v>
      </c>
      <c r="G53" s="137"/>
    </row>
    <row r="54" spans="1:13" x14ac:dyDescent="0.3">
      <c r="A54" s="137"/>
    </row>
    <row r="55" spans="1:13" s="41" customFormat="1" x14ac:dyDescent="0.3">
      <c r="B55" s="75"/>
      <c r="C55" s="52"/>
      <c r="D55" s="52"/>
      <c r="E55" s="76"/>
      <c r="F55" s="52"/>
    </row>
    <row r="56" spans="1:13" x14ac:dyDescent="0.3">
      <c r="B56" s="237" t="s">
        <v>73</v>
      </c>
      <c r="H56" s="136" t="s">
        <v>71</v>
      </c>
      <c r="I56" s="231"/>
      <c r="J56" s="45"/>
      <c r="K56" s="45"/>
      <c r="L56" s="45"/>
    </row>
    <row r="57" spans="1:13" x14ac:dyDescent="0.3">
      <c r="A57" s="144"/>
      <c r="B57" s="238"/>
      <c r="C57" s="140" t="s">
        <v>93</v>
      </c>
      <c r="D57" s="140" t="s">
        <v>94</v>
      </c>
      <c r="E57" s="140" t="s">
        <v>36</v>
      </c>
      <c r="F57" s="141" t="s">
        <v>185</v>
      </c>
      <c r="G57" s="158"/>
      <c r="H57" s="144"/>
      <c r="I57" s="140"/>
      <c r="J57" s="140" t="s">
        <v>93</v>
      </c>
      <c r="K57" s="140" t="s">
        <v>94</v>
      </c>
      <c r="L57" s="140" t="s">
        <v>36</v>
      </c>
      <c r="M57" s="141" t="s">
        <v>185</v>
      </c>
    </row>
    <row r="58" spans="1:13" x14ac:dyDescent="0.3">
      <c r="A58" s="145">
        <v>1</v>
      </c>
      <c r="B58" s="151" t="s">
        <v>157</v>
      </c>
      <c r="C58" s="147" t="e">
        <f t="shared" ref="C58:C75" si="14">IF(INDEX(Q4_Paeds,4+$A58,16)="No data",NA(),INDEX(Q4_Paeds,4+$A58,16))</f>
        <v>#N/A</v>
      </c>
      <c r="D58" s="147" t="e">
        <f t="shared" ref="D58:D75" si="15">IF(INDEX(Q4_Paeds,4+$A58,17)="No data",NA(),INDEX(Q4_Paeds,4+$A58,17))</f>
        <v>#N/A</v>
      </c>
      <c r="E58" s="147" t="e">
        <f t="shared" ref="E58:E75" si="16">IF(INDEX(Q4_Paeds,4+$A58,18)="No data",NA(),INDEX(Q4_Paeds,4+$A58,18))</f>
        <v>#N/A</v>
      </c>
      <c r="F58" s="142" t="e">
        <f t="shared" ref="F58:F75" si="17">SUM(C58:E58)</f>
        <v>#N/A</v>
      </c>
      <c r="G58" s="159"/>
      <c r="H58" s="145">
        <v>1</v>
      </c>
      <c r="I58" s="151" t="s">
        <v>157</v>
      </c>
      <c r="J58" s="152" t="e">
        <f t="shared" ref="J58:J74" si="18">IF(INDEX(Q4_Adult,4+$H58,16)="No data",NA(),INDEX(Q4_Adult,4+$H58,16))</f>
        <v>#N/A</v>
      </c>
      <c r="K58" s="152" t="e">
        <f t="shared" ref="K58:K74" si="19">IF(INDEX(Q4_Adult,4+$H58,17)="No data",NA(),INDEX(Q4_Adult,4+$H58,17))</f>
        <v>#N/A</v>
      </c>
      <c r="L58" s="152" t="e">
        <f t="shared" ref="L58:L74" si="20">IF(INDEX(Q4_Adult,4+$H58,18)="No data",NA(),INDEX(Q4_Adult,4+$H58,18))</f>
        <v>#N/A</v>
      </c>
      <c r="M58" s="142" t="e">
        <f t="shared" ref="M58:M74" si="21">SUM(J58:L58)</f>
        <v>#N/A</v>
      </c>
    </row>
    <row r="59" spans="1:13" x14ac:dyDescent="0.3">
      <c r="A59" s="145">
        <v>2</v>
      </c>
      <c r="B59" s="151" t="s">
        <v>158</v>
      </c>
      <c r="C59" s="147" t="e">
        <f t="shared" si="14"/>
        <v>#N/A</v>
      </c>
      <c r="D59" s="147" t="e">
        <f t="shared" si="15"/>
        <v>#N/A</v>
      </c>
      <c r="E59" s="147" t="e">
        <f t="shared" si="16"/>
        <v>#N/A</v>
      </c>
      <c r="F59" s="142" t="e">
        <f t="shared" si="17"/>
        <v>#N/A</v>
      </c>
      <c r="G59" s="159"/>
      <c r="H59" s="145">
        <v>2</v>
      </c>
      <c r="I59" s="151" t="s">
        <v>158</v>
      </c>
      <c r="J59" s="152" t="e">
        <f t="shared" si="18"/>
        <v>#N/A</v>
      </c>
      <c r="K59" s="152" t="e">
        <f t="shared" si="19"/>
        <v>#N/A</v>
      </c>
      <c r="L59" s="152" t="e">
        <f t="shared" si="20"/>
        <v>#N/A</v>
      </c>
      <c r="M59" s="142" t="e">
        <f t="shared" si="21"/>
        <v>#N/A</v>
      </c>
    </row>
    <row r="60" spans="1:13" x14ac:dyDescent="0.3">
      <c r="A60" s="145">
        <v>3</v>
      </c>
      <c r="B60" s="151" t="s">
        <v>159</v>
      </c>
      <c r="C60" s="147" t="e">
        <f t="shared" si="14"/>
        <v>#N/A</v>
      </c>
      <c r="D60" s="147" t="e">
        <f t="shared" si="15"/>
        <v>#N/A</v>
      </c>
      <c r="E60" s="147" t="e">
        <f t="shared" si="16"/>
        <v>#N/A</v>
      </c>
      <c r="F60" s="142" t="e">
        <f t="shared" si="17"/>
        <v>#N/A</v>
      </c>
      <c r="G60" s="159"/>
      <c r="H60" s="145">
        <v>3</v>
      </c>
      <c r="I60" s="151" t="s">
        <v>159</v>
      </c>
      <c r="J60" s="152" t="e">
        <f t="shared" si="18"/>
        <v>#N/A</v>
      </c>
      <c r="K60" s="152" t="e">
        <f t="shared" si="19"/>
        <v>#N/A</v>
      </c>
      <c r="L60" s="152" t="e">
        <f t="shared" si="20"/>
        <v>#N/A</v>
      </c>
      <c r="M60" s="142" t="e">
        <f t="shared" si="21"/>
        <v>#N/A</v>
      </c>
    </row>
    <row r="61" spans="1:13" x14ac:dyDescent="0.3">
      <c r="A61" s="145">
        <v>4</v>
      </c>
      <c r="B61" s="151" t="s">
        <v>160</v>
      </c>
      <c r="C61" s="147" t="e">
        <f t="shared" si="14"/>
        <v>#N/A</v>
      </c>
      <c r="D61" s="147" t="e">
        <f t="shared" si="15"/>
        <v>#N/A</v>
      </c>
      <c r="E61" s="147" t="e">
        <f t="shared" si="16"/>
        <v>#N/A</v>
      </c>
      <c r="F61" s="142" t="e">
        <f t="shared" si="17"/>
        <v>#N/A</v>
      </c>
      <c r="G61" s="159"/>
      <c r="H61" s="145">
        <v>4</v>
      </c>
      <c r="I61" s="151" t="s">
        <v>160</v>
      </c>
      <c r="J61" s="152" t="e">
        <f t="shared" si="18"/>
        <v>#N/A</v>
      </c>
      <c r="K61" s="152" t="e">
        <f t="shared" si="19"/>
        <v>#N/A</v>
      </c>
      <c r="L61" s="152" t="e">
        <f t="shared" si="20"/>
        <v>#N/A</v>
      </c>
      <c r="M61" s="142" t="e">
        <f t="shared" si="21"/>
        <v>#N/A</v>
      </c>
    </row>
    <row r="62" spans="1:13" x14ac:dyDescent="0.3">
      <c r="A62" s="145">
        <v>5</v>
      </c>
      <c r="B62" s="151" t="s">
        <v>161</v>
      </c>
      <c r="C62" s="147" t="e">
        <f t="shared" si="14"/>
        <v>#N/A</v>
      </c>
      <c r="D62" s="147" t="e">
        <f t="shared" si="15"/>
        <v>#N/A</v>
      </c>
      <c r="E62" s="147" t="e">
        <f t="shared" si="16"/>
        <v>#N/A</v>
      </c>
      <c r="F62" s="142" t="e">
        <f t="shared" si="17"/>
        <v>#N/A</v>
      </c>
      <c r="G62" s="159"/>
      <c r="H62" s="145">
        <v>5</v>
      </c>
      <c r="I62" s="151" t="s">
        <v>161</v>
      </c>
      <c r="J62" s="152" t="e">
        <f t="shared" si="18"/>
        <v>#N/A</v>
      </c>
      <c r="K62" s="152" t="e">
        <f t="shared" si="19"/>
        <v>#N/A</v>
      </c>
      <c r="L62" s="152" t="e">
        <f t="shared" si="20"/>
        <v>#N/A</v>
      </c>
      <c r="M62" s="142" t="e">
        <f t="shared" si="21"/>
        <v>#N/A</v>
      </c>
    </row>
    <row r="63" spans="1:13" x14ac:dyDescent="0.3">
      <c r="A63" s="145">
        <v>6</v>
      </c>
      <c r="B63" s="151" t="s">
        <v>165</v>
      </c>
      <c r="C63" s="147" t="e">
        <f t="shared" si="14"/>
        <v>#N/A</v>
      </c>
      <c r="D63" s="147" t="e">
        <f t="shared" si="15"/>
        <v>#N/A</v>
      </c>
      <c r="E63" s="147" t="e">
        <f t="shared" si="16"/>
        <v>#N/A</v>
      </c>
      <c r="F63" s="142" t="e">
        <f t="shared" si="17"/>
        <v>#N/A</v>
      </c>
      <c r="G63" s="159"/>
      <c r="H63" s="145">
        <v>6</v>
      </c>
      <c r="I63" s="151" t="s">
        <v>165</v>
      </c>
      <c r="J63" s="152" t="e">
        <f t="shared" si="18"/>
        <v>#N/A</v>
      </c>
      <c r="K63" s="152" t="e">
        <f t="shared" si="19"/>
        <v>#N/A</v>
      </c>
      <c r="L63" s="152" t="e">
        <f t="shared" si="20"/>
        <v>#N/A</v>
      </c>
      <c r="M63" s="142" t="e">
        <f t="shared" si="21"/>
        <v>#N/A</v>
      </c>
    </row>
    <row r="64" spans="1:13" x14ac:dyDescent="0.3">
      <c r="A64" s="145">
        <v>7</v>
      </c>
      <c r="B64" s="151" t="s">
        <v>166</v>
      </c>
      <c r="C64" s="147" t="e">
        <f t="shared" si="14"/>
        <v>#N/A</v>
      </c>
      <c r="D64" s="147" t="e">
        <f t="shared" si="15"/>
        <v>#N/A</v>
      </c>
      <c r="E64" s="147" t="e">
        <f t="shared" si="16"/>
        <v>#N/A</v>
      </c>
      <c r="F64" s="142" t="e">
        <f t="shared" si="17"/>
        <v>#N/A</v>
      </c>
      <c r="G64" s="159"/>
      <c r="H64" s="145">
        <v>7</v>
      </c>
      <c r="I64" s="151" t="s">
        <v>166</v>
      </c>
      <c r="J64" s="152" t="e">
        <f t="shared" si="18"/>
        <v>#N/A</v>
      </c>
      <c r="K64" s="152" t="e">
        <f t="shared" si="19"/>
        <v>#N/A</v>
      </c>
      <c r="L64" s="152" t="e">
        <f t="shared" si="20"/>
        <v>#N/A</v>
      </c>
      <c r="M64" s="142" t="e">
        <f t="shared" si="21"/>
        <v>#N/A</v>
      </c>
    </row>
    <row r="65" spans="1:15" x14ac:dyDescent="0.3">
      <c r="A65" s="145">
        <v>8</v>
      </c>
      <c r="B65" s="151" t="s">
        <v>162</v>
      </c>
      <c r="C65" s="147" t="e">
        <f t="shared" si="14"/>
        <v>#N/A</v>
      </c>
      <c r="D65" s="147" t="e">
        <f t="shared" si="15"/>
        <v>#N/A</v>
      </c>
      <c r="E65" s="147" t="e">
        <f t="shared" si="16"/>
        <v>#N/A</v>
      </c>
      <c r="F65" s="142" t="e">
        <f t="shared" si="17"/>
        <v>#N/A</v>
      </c>
      <c r="G65" s="159"/>
      <c r="H65" s="145">
        <v>8</v>
      </c>
      <c r="I65" s="151" t="s">
        <v>162</v>
      </c>
      <c r="J65" s="152" t="e">
        <f t="shared" si="18"/>
        <v>#N/A</v>
      </c>
      <c r="K65" s="152" t="e">
        <f t="shared" si="19"/>
        <v>#N/A</v>
      </c>
      <c r="L65" s="152" t="e">
        <f t="shared" si="20"/>
        <v>#N/A</v>
      </c>
      <c r="M65" s="142" t="e">
        <f t="shared" si="21"/>
        <v>#N/A</v>
      </c>
    </row>
    <row r="66" spans="1:15" x14ac:dyDescent="0.3">
      <c r="A66" s="145">
        <v>9</v>
      </c>
      <c r="B66" s="151" t="s">
        <v>58</v>
      </c>
      <c r="C66" s="147" t="e">
        <f t="shared" si="14"/>
        <v>#N/A</v>
      </c>
      <c r="D66" s="147" t="e">
        <f t="shared" si="15"/>
        <v>#N/A</v>
      </c>
      <c r="E66" s="147" t="e">
        <f t="shared" si="16"/>
        <v>#N/A</v>
      </c>
      <c r="F66" s="142" t="e">
        <f t="shared" si="17"/>
        <v>#N/A</v>
      </c>
      <c r="G66" s="159"/>
      <c r="H66" s="145">
        <v>9</v>
      </c>
      <c r="I66" s="151" t="s">
        <v>58</v>
      </c>
      <c r="J66" s="152" t="e">
        <f t="shared" si="18"/>
        <v>#N/A</v>
      </c>
      <c r="K66" s="152" t="e">
        <f t="shared" si="19"/>
        <v>#N/A</v>
      </c>
      <c r="L66" s="152" t="e">
        <f t="shared" si="20"/>
        <v>#N/A</v>
      </c>
      <c r="M66" s="142" t="e">
        <f t="shared" si="21"/>
        <v>#N/A</v>
      </c>
    </row>
    <row r="67" spans="1:15" x14ac:dyDescent="0.3">
      <c r="A67" s="145">
        <v>10</v>
      </c>
      <c r="B67" s="151" t="s">
        <v>59</v>
      </c>
      <c r="C67" s="147" t="e">
        <f t="shared" si="14"/>
        <v>#N/A</v>
      </c>
      <c r="D67" s="147" t="e">
        <f t="shared" si="15"/>
        <v>#N/A</v>
      </c>
      <c r="E67" s="147" t="e">
        <f t="shared" si="16"/>
        <v>#N/A</v>
      </c>
      <c r="F67" s="142" t="e">
        <f t="shared" si="17"/>
        <v>#N/A</v>
      </c>
      <c r="G67" s="159"/>
      <c r="H67" s="145">
        <v>10</v>
      </c>
      <c r="I67" s="151" t="s">
        <v>164</v>
      </c>
      <c r="J67" s="152" t="e">
        <f t="shared" si="18"/>
        <v>#N/A</v>
      </c>
      <c r="K67" s="152" t="e">
        <f t="shared" si="19"/>
        <v>#N/A</v>
      </c>
      <c r="L67" s="152" t="e">
        <f t="shared" si="20"/>
        <v>#N/A</v>
      </c>
      <c r="M67" s="142" t="e">
        <f t="shared" si="21"/>
        <v>#N/A</v>
      </c>
    </row>
    <row r="68" spans="1:15" x14ac:dyDescent="0.3">
      <c r="A68" s="145">
        <v>11</v>
      </c>
      <c r="B68" s="151" t="s">
        <v>164</v>
      </c>
      <c r="C68" s="147" t="e">
        <f t="shared" si="14"/>
        <v>#N/A</v>
      </c>
      <c r="D68" s="147" t="e">
        <f t="shared" si="15"/>
        <v>#N/A</v>
      </c>
      <c r="E68" s="147" t="e">
        <f t="shared" si="16"/>
        <v>#N/A</v>
      </c>
      <c r="F68" s="142" t="e">
        <f t="shared" si="17"/>
        <v>#N/A</v>
      </c>
      <c r="G68" s="159"/>
      <c r="H68" s="145">
        <v>11</v>
      </c>
      <c r="I68" s="151" t="s">
        <v>60</v>
      </c>
      <c r="J68" s="152" t="e">
        <f t="shared" si="18"/>
        <v>#N/A</v>
      </c>
      <c r="K68" s="152" t="e">
        <f t="shared" si="19"/>
        <v>#N/A</v>
      </c>
      <c r="L68" s="152" t="e">
        <f t="shared" si="20"/>
        <v>#N/A</v>
      </c>
      <c r="M68" s="142" t="e">
        <f t="shared" si="21"/>
        <v>#N/A</v>
      </c>
    </row>
    <row r="69" spans="1:15" x14ac:dyDescent="0.3">
      <c r="A69" s="145">
        <v>12</v>
      </c>
      <c r="B69" s="151" t="s">
        <v>60</v>
      </c>
      <c r="C69" s="147" t="e">
        <f t="shared" si="14"/>
        <v>#N/A</v>
      </c>
      <c r="D69" s="147" t="e">
        <f t="shared" si="15"/>
        <v>#N/A</v>
      </c>
      <c r="E69" s="147" t="e">
        <f t="shared" si="16"/>
        <v>#N/A</v>
      </c>
      <c r="F69" s="142" t="e">
        <f t="shared" si="17"/>
        <v>#N/A</v>
      </c>
      <c r="G69" s="159"/>
      <c r="H69" s="145">
        <v>12</v>
      </c>
      <c r="I69" s="151" t="s">
        <v>56</v>
      </c>
      <c r="J69" s="152" t="e">
        <f t="shared" si="18"/>
        <v>#N/A</v>
      </c>
      <c r="K69" s="152" t="e">
        <f t="shared" si="19"/>
        <v>#N/A</v>
      </c>
      <c r="L69" s="152" t="e">
        <f t="shared" si="20"/>
        <v>#N/A</v>
      </c>
      <c r="M69" s="142" t="e">
        <f t="shared" si="21"/>
        <v>#N/A</v>
      </c>
    </row>
    <row r="70" spans="1:15" x14ac:dyDescent="0.3">
      <c r="A70" s="145">
        <v>13</v>
      </c>
      <c r="B70" s="151" t="s">
        <v>56</v>
      </c>
      <c r="C70" s="147" t="e">
        <f t="shared" si="14"/>
        <v>#N/A</v>
      </c>
      <c r="D70" s="147" t="e">
        <f t="shared" si="15"/>
        <v>#N/A</v>
      </c>
      <c r="E70" s="147" t="e">
        <f t="shared" si="16"/>
        <v>#N/A</v>
      </c>
      <c r="F70" s="142" t="e">
        <f t="shared" si="17"/>
        <v>#N/A</v>
      </c>
      <c r="G70" s="159"/>
      <c r="H70" s="145">
        <v>13</v>
      </c>
      <c r="I70" s="151" t="s">
        <v>61</v>
      </c>
      <c r="J70" s="152" t="e">
        <f t="shared" si="18"/>
        <v>#N/A</v>
      </c>
      <c r="K70" s="152" t="e">
        <f t="shared" si="19"/>
        <v>#N/A</v>
      </c>
      <c r="L70" s="152" t="e">
        <f t="shared" si="20"/>
        <v>#N/A</v>
      </c>
      <c r="M70" s="142" t="e">
        <f t="shared" si="21"/>
        <v>#N/A</v>
      </c>
    </row>
    <row r="71" spans="1:15" x14ac:dyDescent="0.3">
      <c r="A71" s="145">
        <v>14</v>
      </c>
      <c r="B71" s="151" t="s">
        <v>61</v>
      </c>
      <c r="C71" s="147" t="e">
        <f t="shared" si="14"/>
        <v>#N/A</v>
      </c>
      <c r="D71" s="147" t="e">
        <f t="shared" si="15"/>
        <v>#N/A</v>
      </c>
      <c r="E71" s="147" t="e">
        <f t="shared" si="16"/>
        <v>#N/A</v>
      </c>
      <c r="F71" s="142" t="e">
        <f t="shared" si="17"/>
        <v>#N/A</v>
      </c>
      <c r="G71" s="159"/>
      <c r="H71" s="145">
        <v>14</v>
      </c>
      <c r="I71" s="151" t="s">
        <v>52</v>
      </c>
      <c r="J71" s="152" t="e">
        <f t="shared" si="18"/>
        <v>#N/A</v>
      </c>
      <c r="K71" s="152" t="e">
        <f t="shared" si="19"/>
        <v>#N/A</v>
      </c>
      <c r="L71" s="152" t="e">
        <f t="shared" si="20"/>
        <v>#N/A</v>
      </c>
      <c r="M71" s="142" t="e">
        <f t="shared" si="21"/>
        <v>#N/A</v>
      </c>
    </row>
    <row r="72" spans="1:15" x14ac:dyDescent="0.3">
      <c r="A72" s="145">
        <v>15</v>
      </c>
      <c r="B72" s="151" t="s">
        <v>52</v>
      </c>
      <c r="C72" s="147" t="e">
        <f t="shared" si="14"/>
        <v>#N/A</v>
      </c>
      <c r="D72" s="147" t="e">
        <f t="shared" si="15"/>
        <v>#N/A</v>
      </c>
      <c r="E72" s="147" t="e">
        <f t="shared" si="16"/>
        <v>#N/A</v>
      </c>
      <c r="F72" s="142" t="e">
        <f t="shared" si="17"/>
        <v>#N/A</v>
      </c>
      <c r="G72" s="159"/>
      <c r="H72" s="145">
        <v>15</v>
      </c>
      <c r="I72" s="151" t="s">
        <v>57</v>
      </c>
      <c r="J72" s="152" t="e">
        <f t="shared" si="18"/>
        <v>#N/A</v>
      </c>
      <c r="K72" s="152" t="e">
        <f t="shared" si="19"/>
        <v>#N/A</v>
      </c>
      <c r="L72" s="152" t="e">
        <f t="shared" si="20"/>
        <v>#N/A</v>
      </c>
      <c r="M72" s="142" t="e">
        <f t="shared" si="21"/>
        <v>#N/A</v>
      </c>
    </row>
    <row r="73" spans="1:15" x14ac:dyDescent="0.3">
      <c r="A73" s="145">
        <v>16</v>
      </c>
      <c r="B73" s="151" t="s">
        <v>57</v>
      </c>
      <c r="C73" s="147" t="e">
        <f t="shared" si="14"/>
        <v>#N/A</v>
      </c>
      <c r="D73" s="147" t="e">
        <f t="shared" si="15"/>
        <v>#N/A</v>
      </c>
      <c r="E73" s="147" t="e">
        <f t="shared" si="16"/>
        <v>#N/A</v>
      </c>
      <c r="F73" s="142" t="e">
        <f t="shared" si="17"/>
        <v>#N/A</v>
      </c>
      <c r="G73" s="159"/>
      <c r="H73" s="145">
        <v>16</v>
      </c>
      <c r="I73" s="151" t="s">
        <v>54</v>
      </c>
      <c r="J73" s="152" t="e">
        <f t="shared" si="18"/>
        <v>#N/A</v>
      </c>
      <c r="K73" s="152" t="e">
        <f t="shared" si="19"/>
        <v>#N/A</v>
      </c>
      <c r="L73" s="152" t="e">
        <f t="shared" si="20"/>
        <v>#N/A</v>
      </c>
      <c r="M73" s="142" t="e">
        <f t="shared" si="21"/>
        <v>#N/A</v>
      </c>
    </row>
    <row r="74" spans="1:15" x14ac:dyDescent="0.3">
      <c r="A74" s="145">
        <v>17</v>
      </c>
      <c r="B74" s="151" t="s">
        <v>54</v>
      </c>
      <c r="C74" s="147" t="e">
        <f t="shared" si="14"/>
        <v>#N/A</v>
      </c>
      <c r="D74" s="147" t="e">
        <f t="shared" si="15"/>
        <v>#N/A</v>
      </c>
      <c r="E74" s="147" t="e">
        <f t="shared" si="16"/>
        <v>#N/A</v>
      </c>
      <c r="F74" s="142" t="e">
        <f t="shared" si="17"/>
        <v>#N/A</v>
      </c>
      <c r="G74" s="159"/>
      <c r="H74" s="146">
        <v>17</v>
      </c>
      <c r="I74" s="154" t="s">
        <v>62</v>
      </c>
      <c r="J74" s="152" t="e">
        <f t="shared" si="18"/>
        <v>#N/A</v>
      </c>
      <c r="K74" s="152" t="e">
        <f t="shared" si="19"/>
        <v>#N/A</v>
      </c>
      <c r="L74" s="152" t="e">
        <f t="shared" si="20"/>
        <v>#N/A</v>
      </c>
      <c r="M74" s="142" t="e">
        <f t="shared" si="21"/>
        <v>#N/A</v>
      </c>
    </row>
    <row r="75" spans="1:15" x14ac:dyDescent="0.3">
      <c r="A75" s="146">
        <v>18</v>
      </c>
      <c r="B75" s="154" t="s">
        <v>62</v>
      </c>
      <c r="C75" s="148" t="e">
        <f t="shared" si="14"/>
        <v>#N/A</v>
      </c>
      <c r="D75" s="148" t="e">
        <f t="shared" si="15"/>
        <v>#N/A</v>
      </c>
      <c r="E75" s="148" t="e">
        <f t="shared" si="16"/>
        <v>#N/A</v>
      </c>
      <c r="F75" s="143" t="e">
        <f t="shared" si="17"/>
        <v>#N/A</v>
      </c>
      <c r="G75" s="159"/>
    </row>
    <row r="77" spans="1:15" s="102" customFormat="1" ht="18" x14ac:dyDescent="0.35">
      <c r="B77" s="102" t="s">
        <v>108</v>
      </c>
    </row>
    <row r="78" spans="1:15" s="103" customFormat="1" ht="43.5" customHeight="1" x14ac:dyDescent="0.4">
      <c r="B78" s="104" t="s">
        <v>189</v>
      </c>
    </row>
    <row r="79" spans="1:15" x14ac:dyDescent="0.3">
      <c r="A79" s="41"/>
      <c r="B79" s="136" t="s">
        <v>74</v>
      </c>
      <c r="C79" s="41"/>
      <c r="D79" s="41"/>
      <c r="E79" s="136" t="s">
        <v>146</v>
      </c>
      <c r="F79" s="136"/>
      <c r="I79" s="34" t="s">
        <v>143</v>
      </c>
      <c r="M79" s="34" t="s">
        <v>143</v>
      </c>
    </row>
    <row r="80" spans="1:15" x14ac:dyDescent="0.3">
      <c r="A80" s="144"/>
      <c r="B80" s="140"/>
      <c r="C80" s="141" t="str">
        <f>Data!U29</f>
        <v>Local consultant</v>
      </c>
      <c r="D80" s="158"/>
      <c r="E80" s="144"/>
      <c r="F80" s="140"/>
      <c r="G80" s="141" t="str">
        <f>Data!V29</f>
        <v>Visiting consultant</v>
      </c>
      <c r="H80" s="158"/>
      <c r="I80" s="144"/>
      <c r="J80" s="140"/>
      <c r="K80" s="141" t="str">
        <f>Data!U5</f>
        <v>Local consultant</v>
      </c>
      <c r="L80" s="158"/>
      <c r="M80" s="144"/>
      <c r="N80" s="140"/>
      <c r="O80" s="141" t="str">
        <f>Data!V5</f>
        <v>Visiting consultant</v>
      </c>
    </row>
    <row r="81" spans="1:15" x14ac:dyDescent="0.3">
      <c r="A81" s="145">
        <v>1</v>
      </c>
      <c r="B81" s="151" t="s">
        <v>157</v>
      </c>
      <c r="C81" s="160" t="e">
        <f t="shared" ref="C81:C98" si="22">IF(INDEX(Q4_Paeds,4+$A81,21)="No data",NA(),INDEX(Q4_Paeds,4+$A81,21))</f>
        <v>#N/A</v>
      </c>
      <c r="D81" s="162"/>
      <c r="E81" s="145">
        <v>1</v>
      </c>
      <c r="F81" s="151" t="s">
        <v>157</v>
      </c>
      <c r="G81" s="160" t="e">
        <f t="shared" ref="G81:G98" si="23">IF(INDEX(Q4_Paeds,4+$E81,22)="No data",NA(),INDEX(Q4_Paeds,4+$E81,22))</f>
        <v>#N/A</v>
      </c>
      <c r="H81" s="162"/>
      <c r="I81" s="145">
        <v>1</v>
      </c>
      <c r="J81" s="151" t="s">
        <v>157</v>
      </c>
      <c r="K81" s="160" t="e">
        <f t="shared" ref="K81:K97" si="24">IF(INDEX(Q4_Adult,4+$I81,21)="No data",NA(),INDEX(Q4_Adult,4+$I81,21))</f>
        <v>#N/A</v>
      </c>
      <c r="L81" s="162"/>
      <c r="M81" s="145">
        <v>1</v>
      </c>
      <c r="N81" s="151" t="s">
        <v>157</v>
      </c>
      <c r="O81" s="160" t="e">
        <f t="shared" ref="O81:O97" si="25">IF(INDEX(Q4_Adult,4+$M81,22)="No data",NA(),INDEX(Q4_Adult,4+$M81,22))</f>
        <v>#N/A</v>
      </c>
    </row>
    <row r="82" spans="1:15" x14ac:dyDescent="0.3">
      <c r="A82" s="145">
        <v>2</v>
      </c>
      <c r="B82" s="151" t="s">
        <v>158</v>
      </c>
      <c r="C82" s="160" t="e">
        <f t="shared" si="22"/>
        <v>#N/A</v>
      </c>
      <c r="D82" s="162"/>
      <c r="E82" s="145">
        <v>2</v>
      </c>
      <c r="F82" s="151" t="s">
        <v>158</v>
      </c>
      <c r="G82" s="160" t="e">
        <f t="shared" si="23"/>
        <v>#N/A</v>
      </c>
      <c r="H82" s="162"/>
      <c r="I82" s="145">
        <v>2</v>
      </c>
      <c r="J82" s="151" t="s">
        <v>158</v>
      </c>
      <c r="K82" s="160" t="e">
        <f t="shared" si="24"/>
        <v>#N/A</v>
      </c>
      <c r="L82" s="162"/>
      <c r="M82" s="145">
        <v>2</v>
      </c>
      <c r="N82" s="151" t="s">
        <v>158</v>
      </c>
      <c r="O82" s="160" t="e">
        <f t="shared" si="25"/>
        <v>#N/A</v>
      </c>
    </row>
    <row r="83" spans="1:15" x14ac:dyDescent="0.3">
      <c r="A83" s="145">
        <v>3</v>
      </c>
      <c r="B83" s="151" t="s">
        <v>159</v>
      </c>
      <c r="C83" s="160" t="e">
        <f t="shared" si="22"/>
        <v>#N/A</v>
      </c>
      <c r="D83" s="162"/>
      <c r="E83" s="145">
        <v>3</v>
      </c>
      <c r="F83" s="151" t="s">
        <v>159</v>
      </c>
      <c r="G83" s="160" t="e">
        <f t="shared" si="23"/>
        <v>#N/A</v>
      </c>
      <c r="H83" s="162"/>
      <c r="I83" s="145">
        <v>3</v>
      </c>
      <c r="J83" s="151" t="s">
        <v>159</v>
      </c>
      <c r="K83" s="160" t="e">
        <f t="shared" si="24"/>
        <v>#N/A</v>
      </c>
      <c r="L83" s="162"/>
      <c r="M83" s="145">
        <v>3</v>
      </c>
      <c r="N83" s="151" t="s">
        <v>159</v>
      </c>
      <c r="O83" s="160" t="e">
        <f t="shared" si="25"/>
        <v>#N/A</v>
      </c>
    </row>
    <row r="84" spans="1:15" x14ac:dyDescent="0.3">
      <c r="A84" s="145">
        <v>4</v>
      </c>
      <c r="B84" s="151" t="s">
        <v>160</v>
      </c>
      <c r="C84" s="160" t="e">
        <f t="shared" si="22"/>
        <v>#N/A</v>
      </c>
      <c r="D84" s="162"/>
      <c r="E84" s="145">
        <v>4</v>
      </c>
      <c r="F84" s="151" t="s">
        <v>160</v>
      </c>
      <c r="G84" s="160" t="e">
        <f t="shared" si="23"/>
        <v>#N/A</v>
      </c>
      <c r="H84" s="162"/>
      <c r="I84" s="145">
        <v>4</v>
      </c>
      <c r="J84" s="151" t="s">
        <v>160</v>
      </c>
      <c r="K84" s="160" t="e">
        <f t="shared" si="24"/>
        <v>#N/A</v>
      </c>
      <c r="L84" s="162"/>
      <c r="M84" s="145">
        <v>4</v>
      </c>
      <c r="N84" s="151" t="s">
        <v>160</v>
      </c>
      <c r="O84" s="160" t="e">
        <f t="shared" si="25"/>
        <v>#N/A</v>
      </c>
    </row>
    <row r="85" spans="1:15" x14ac:dyDescent="0.3">
      <c r="A85" s="145">
        <v>5</v>
      </c>
      <c r="B85" s="151" t="s">
        <v>161</v>
      </c>
      <c r="C85" s="160" t="e">
        <f t="shared" si="22"/>
        <v>#N/A</v>
      </c>
      <c r="D85" s="162"/>
      <c r="E85" s="145">
        <v>5</v>
      </c>
      <c r="F85" s="151" t="s">
        <v>161</v>
      </c>
      <c r="G85" s="160" t="e">
        <f t="shared" si="23"/>
        <v>#N/A</v>
      </c>
      <c r="H85" s="162"/>
      <c r="I85" s="145">
        <v>5</v>
      </c>
      <c r="J85" s="151" t="s">
        <v>161</v>
      </c>
      <c r="K85" s="160" t="e">
        <f t="shared" si="24"/>
        <v>#N/A</v>
      </c>
      <c r="L85" s="162"/>
      <c r="M85" s="145">
        <v>5</v>
      </c>
      <c r="N85" s="151" t="s">
        <v>161</v>
      </c>
      <c r="O85" s="160" t="e">
        <f t="shared" si="25"/>
        <v>#N/A</v>
      </c>
    </row>
    <row r="86" spans="1:15" x14ac:dyDescent="0.3">
      <c r="A86" s="145">
        <v>6</v>
      </c>
      <c r="B86" s="151" t="s">
        <v>165</v>
      </c>
      <c r="C86" s="160" t="e">
        <f t="shared" si="22"/>
        <v>#N/A</v>
      </c>
      <c r="D86" s="162"/>
      <c r="E86" s="145">
        <v>6</v>
      </c>
      <c r="F86" s="151" t="s">
        <v>165</v>
      </c>
      <c r="G86" s="160" t="e">
        <f t="shared" si="23"/>
        <v>#N/A</v>
      </c>
      <c r="H86" s="162"/>
      <c r="I86" s="145">
        <v>6</v>
      </c>
      <c r="J86" s="151" t="s">
        <v>165</v>
      </c>
      <c r="K86" s="160" t="e">
        <f t="shared" si="24"/>
        <v>#N/A</v>
      </c>
      <c r="L86" s="162"/>
      <c r="M86" s="145">
        <v>6</v>
      </c>
      <c r="N86" s="151" t="s">
        <v>165</v>
      </c>
      <c r="O86" s="160" t="e">
        <f t="shared" si="25"/>
        <v>#N/A</v>
      </c>
    </row>
    <row r="87" spans="1:15" x14ac:dyDescent="0.3">
      <c r="A87" s="145">
        <v>7</v>
      </c>
      <c r="B87" s="151" t="s">
        <v>166</v>
      </c>
      <c r="C87" s="160" t="e">
        <f t="shared" si="22"/>
        <v>#N/A</v>
      </c>
      <c r="D87" s="162"/>
      <c r="E87" s="145">
        <v>7</v>
      </c>
      <c r="F87" s="151" t="s">
        <v>166</v>
      </c>
      <c r="G87" s="160" t="e">
        <f t="shared" si="23"/>
        <v>#N/A</v>
      </c>
      <c r="H87" s="162"/>
      <c r="I87" s="145">
        <v>7</v>
      </c>
      <c r="J87" s="151" t="s">
        <v>166</v>
      </c>
      <c r="K87" s="160" t="e">
        <f t="shared" si="24"/>
        <v>#N/A</v>
      </c>
      <c r="L87" s="162"/>
      <c r="M87" s="145">
        <v>7</v>
      </c>
      <c r="N87" s="151" t="s">
        <v>166</v>
      </c>
      <c r="O87" s="160" t="e">
        <f t="shared" si="25"/>
        <v>#N/A</v>
      </c>
    </row>
    <row r="88" spans="1:15" x14ac:dyDescent="0.3">
      <c r="A88" s="145">
        <v>8</v>
      </c>
      <c r="B88" s="151" t="s">
        <v>162</v>
      </c>
      <c r="C88" s="160" t="e">
        <f t="shared" si="22"/>
        <v>#N/A</v>
      </c>
      <c r="D88" s="162"/>
      <c r="E88" s="145">
        <v>8</v>
      </c>
      <c r="F88" s="151" t="s">
        <v>162</v>
      </c>
      <c r="G88" s="160" t="e">
        <f t="shared" si="23"/>
        <v>#N/A</v>
      </c>
      <c r="H88" s="162"/>
      <c r="I88" s="145">
        <v>8</v>
      </c>
      <c r="J88" s="151" t="s">
        <v>162</v>
      </c>
      <c r="K88" s="160" t="e">
        <f t="shared" si="24"/>
        <v>#N/A</v>
      </c>
      <c r="L88" s="162"/>
      <c r="M88" s="145">
        <v>8</v>
      </c>
      <c r="N88" s="151" t="s">
        <v>162</v>
      </c>
      <c r="O88" s="160" t="e">
        <f t="shared" si="25"/>
        <v>#N/A</v>
      </c>
    </row>
    <row r="89" spans="1:15" x14ac:dyDescent="0.3">
      <c r="A89" s="145">
        <v>9</v>
      </c>
      <c r="B89" s="151" t="s">
        <v>58</v>
      </c>
      <c r="C89" s="160" t="e">
        <f t="shared" si="22"/>
        <v>#N/A</v>
      </c>
      <c r="D89" s="162"/>
      <c r="E89" s="145">
        <v>9</v>
      </c>
      <c r="F89" s="151" t="s">
        <v>58</v>
      </c>
      <c r="G89" s="160" t="e">
        <f t="shared" si="23"/>
        <v>#N/A</v>
      </c>
      <c r="H89" s="162"/>
      <c r="I89" s="145">
        <v>9</v>
      </c>
      <c r="J89" s="151" t="s">
        <v>58</v>
      </c>
      <c r="K89" s="160" t="e">
        <f t="shared" si="24"/>
        <v>#N/A</v>
      </c>
      <c r="L89" s="162"/>
      <c r="M89" s="145">
        <v>9</v>
      </c>
      <c r="N89" s="151" t="s">
        <v>58</v>
      </c>
      <c r="O89" s="160" t="e">
        <f t="shared" si="25"/>
        <v>#N/A</v>
      </c>
    </row>
    <row r="90" spans="1:15" x14ac:dyDescent="0.3">
      <c r="A90" s="145">
        <v>10</v>
      </c>
      <c r="B90" s="151" t="s">
        <v>59</v>
      </c>
      <c r="C90" s="160" t="e">
        <f t="shared" si="22"/>
        <v>#N/A</v>
      </c>
      <c r="D90" s="162"/>
      <c r="E90" s="145">
        <v>10</v>
      </c>
      <c r="F90" s="151" t="s">
        <v>59</v>
      </c>
      <c r="G90" s="160" t="e">
        <f t="shared" si="23"/>
        <v>#N/A</v>
      </c>
      <c r="H90" s="162"/>
      <c r="I90" s="145">
        <v>10</v>
      </c>
      <c r="J90" s="151" t="s">
        <v>164</v>
      </c>
      <c r="K90" s="160" t="e">
        <f t="shared" si="24"/>
        <v>#N/A</v>
      </c>
      <c r="L90" s="162"/>
      <c r="M90" s="145">
        <v>10</v>
      </c>
      <c r="N90" s="151" t="s">
        <v>164</v>
      </c>
      <c r="O90" s="160" t="e">
        <f t="shared" si="25"/>
        <v>#N/A</v>
      </c>
    </row>
    <row r="91" spans="1:15" x14ac:dyDescent="0.3">
      <c r="A91" s="145">
        <v>11</v>
      </c>
      <c r="B91" s="151" t="s">
        <v>164</v>
      </c>
      <c r="C91" s="160" t="e">
        <f t="shared" si="22"/>
        <v>#N/A</v>
      </c>
      <c r="D91" s="162"/>
      <c r="E91" s="145">
        <v>11</v>
      </c>
      <c r="F91" s="151" t="s">
        <v>164</v>
      </c>
      <c r="G91" s="160" t="e">
        <f t="shared" si="23"/>
        <v>#N/A</v>
      </c>
      <c r="H91" s="162"/>
      <c r="I91" s="145">
        <v>11</v>
      </c>
      <c r="J91" s="151" t="s">
        <v>60</v>
      </c>
      <c r="K91" s="160" t="e">
        <f t="shared" si="24"/>
        <v>#N/A</v>
      </c>
      <c r="L91" s="162"/>
      <c r="M91" s="145">
        <v>11</v>
      </c>
      <c r="N91" s="151" t="s">
        <v>60</v>
      </c>
      <c r="O91" s="160" t="e">
        <f t="shared" si="25"/>
        <v>#N/A</v>
      </c>
    </row>
    <row r="92" spans="1:15" x14ac:dyDescent="0.3">
      <c r="A92" s="145">
        <v>12</v>
      </c>
      <c r="B92" s="151" t="s">
        <v>60</v>
      </c>
      <c r="C92" s="160" t="e">
        <f t="shared" si="22"/>
        <v>#N/A</v>
      </c>
      <c r="D92" s="162"/>
      <c r="E92" s="145">
        <v>12</v>
      </c>
      <c r="F92" s="151" t="s">
        <v>60</v>
      </c>
      <c r="G92" s="160" t="e">
        <f t="shared" si="23"/>
        <v>#N/A</v>
      </c>
      <c r="H92" s="162"/>
      <c r="I92" s="145">
        <v>12</v>
      </c>
      <c r="J92" s="151" t="s">
        <v>56</v>
      </c>
      <c r="K92" s="160" t="e">
        <f t="shared" si="24"/>
        <v>#N/A</v>
      </c>
      <c r="L92" s="162"/>
      <c r="M92" s="145">
        <v>12</v>
      </c>
      <c r="N92" s="151" t="s">
        <v>56</v>
      </c>
      <c r="O92" s="160" t="e">
        <f t="shared" si="25"/>
        <v>#N/A</v>
      </c>
    </row>
    <row r="93" spans="1:15" x14ac:dyDescent="0.3">
      <c r="A93" s="145">
        <v>13</v>
      </c>
      <c r="B93" s="151" t="s">
        <v>56</v>
      </c>
      <c r="C93" s="160" t="e">
        <f t="shared" si="22"/>
        <v>#N/A</v>
      </c>
      <c r="D93" s="162"/>
      <c r="E93" s="145">
        <v>13</v>
      </c>
      <c r="F93" s="151" t="s">
        <v>56</v>
      </c>
      <c r="G93" s="160" t="e">
        <f t="shared" si="23"/>
        <v>#N/A</v>
      </c>
      <c r="H93" s="162"/>
      <c r="I93" s="145">
        <v>13</v>
      </c>
      <c r="J93" s="151" t="s">
        <v>61</v>
      </c>
      <c r="K93" s="160" t="e">
        <f t="shared" si="24"/>
        <v>#N/A</v>
      </c>
      <c r="L93" s="162"/>
      <c r="M93" s="145">
        <v>13</v>
      </c>
      <c r="N93" s="151" t="s">
        <v>61</v>
      </c>
      <c r="O93" s="160" t="e">
        <f t="shared" si="25"/>
        <v>#N/A</v>
      </c>
    </row>
    <row r="94" spans="1:15" x14ac:dyDescent="0.3">
      <c r="A94" s="145">
        <v>14</v>
      </c>
      <c r="B94" s="151" t="s">
        <v>61</v>
      </c>
      <c r="C94" s="160" t="e">
        <f t="shared" si="22"/>
        <v>#N/A</v>
      </c>
      <c r="D94" s="162"/>
      <c r="E94" s="145">
        <v>14</v>
      </c>
      <c r="F94" s="151" t="s">
        <v>61</v>
      </c>
      <c r="G94" s="160" t="e">
        <f t="shared" si="23"/>
        <v>#N/A</v>
      </c>
      <c r="H94" s="162"/>
      <c r="I94" s="145">
        <v>14</v>
      </c>
      <c r="J94" s="151" t="s">
        <v>52</v>
      </c>
      <c r="K94" s="160" t="e">
        <f t="shared" si="24"/>
        <v>#N/A</v>
      </c>
      <c r="L94" s="162"/>
      <c r="M94" s="145">
        <v>14</v>
      </c>
      <c r="N94" s="151" t="s">
        <v>52</v>
      </c>
      <c r="O94" s="160" t="e">
        <f t="shared" si="25"/>
        <v>#N/A</v>
      </c>
    </row>
    <row r="95" spans="1:15" x14ac:dyDescent="0.3">
      <c r="A95" s="145">
        <v>15</v>
      </c>
      <c r="B95" s="151" t="s">
        <v>52</v>
      </c>
      <c r="C95" s="160" t="e">
        <f t="shared" si="22"/>
        <v>#N/A</v>
      </c>
      <c r="D95" s="162"/>
      <c r="E95" s="145">
        <v>15</v>
      </c>
      <c r="F95" s="151" t="s">
        <v>52</v>
      </c>
      <c r="G95" s="160" t="e">
        <f t="shared" si="23"/>
        <v>#N/A</v>
      </c>
      <c r="H95" s="162"/>
      <c r="I95" s="145">
        <v>15</v>
      </c>
      <c r="J95" s="151" t="s">
        <v>57</v>
      </c>
      <c r="K95" s="160" t="e">
        <f t="shared" si="24"/>
        <v>#N/A</v>
      </c>
      <c r="L95" s="162"/>
      <c r="M95" s="145">
        <v>15</v>
      </c>
      <c r="N95" s="151" t="s">
        <v>57</v>
      </c>
      <c r="O95" s="160" t="e">
        <f t="shared" si="25"/>
        <v>#N/A</v>
      </c>
    </row>
    <row r="96" spans="1:15" x14ac:dyDescent="0.3">
      <c r="A96" s="145">
        <v>16</v>
      </c>
      <c r="B96" s="151" t="s">
        <v>57</v>
      </c>
      <c r="C96" s="160" t="e">
        <f t="shared" si="22"/>
        <v>#N/A</v>
      </c>
      <c r="D96" s="162"/>
      <c r="E96" s="145">
        <v>16</v>
      </c>
      <c r="F96" s="151" t="s">
        <v>57</v>
      </c>
      <c r="G96" s="160" t="e">
        <f t="shared" si="23"/>
        <v>#N/A</v>
      </c>
      <c r="H96" s="162"/>
      <c r="I96" s="145">
        <v>16</v>
      </c>
      <c r="J96" s="151" t="s">
        <v>54</v>
      </c>
      <c r="K96" s="160" t="e">
        <f t="shared" si="24"/>
        <v>#N/A</v>
      </c>
      <c r="L96" s="162"/>
      <c r="M96" s="145">
        <v>16</v>
      </c>
      <c r="N96" s="151" t="s">
        <v>54</v>
      </c>
      <c r="O96" s="160" t="e">
        <f t="shared" si="25"/>
        <v>#N/A</v>
      </c>
    </row>
    <row r="97" spans="1:15" x14ac:dyDescent="0.3">
      <c r="A97" s="145">
        <v>17</v>
      </c>
      <c r="B97" s="151" t="s">
        <v>54</v>
      </c>
      <c r="C97" s="160" t="e">
        <f t="shared" si="22"/>
        <v>#N/A</v>
      </c>
      <c r="D97" s="162"/>
      <c r="E97" s="145">
        <v>17</v>
      </c>
      <c r="F97" s="151" t="s">
        <v>54</v>
      </c>
      <c r="G97" s="160" t="e">
        <f t="shared" si="23"/>
        <v>#N/A</v>
      </c>
      <c r="H97" s="162"/>
      <c r="I97" s="146">
        <v>17</v>
      </c>
      <c r="J97" s="154" t="s">
        <v>62</v>
      </c>
      <c r="K97" s="160" t="e">
        <f t="shared" si="24"/>
        <v>#N/A</v>
      </c>
      <c r="L97" s="162"/>
      <c r="M97" s="146">
        <v>17</v>
      </c>
      <c r="N97" s="154" t="s">
        <v>62</v>
      </c>
      <c r="O97" s="160" t="e">
        <f t="shared" si="25"/>
        <v>#N/A</v>
      </c>
    </row>
    <row r="98" spans="1:15" x14ac:dyDescent="0.3">
      <c r="A98" s="146">
        <v>18</v>
      </c>
      <c r="B98" s="154" t="s">
        <v>62</v>
      </c>
      <c r="C98" s="161" t="e">
        <f t="shared" si="22"/>
        <v>#N/A</v>
      </c>
      <c r="D98" s="162"/>
      <c r="E98" s="146">
        <v>18</v>
      </c>
      <c r="F98" s="154" t="s">
        <v>62</v>
      </c>
      <c r="G98" s="161" t="e">
        <f t="shared" si="23"/>
        <v>#N/A</v>
      </c>
      <c r="H98" s="162"/>
    </row>
    <row r="99" spans="1:15" s="41" customFormat="1" x14ac:dyDescent="0.3">
      <c r="B99" s="75"/>
      <c r="C99" s="105"/>
      <c r="D99" s="105"/>
      <c r="E99" s="75"/>
      <c r="F99" s="105"/>
    </row>
    <row r="100" spans="1:15" ht="18" x14ac:dyDescent="0.3">
      <c r="B100" s="106" t="s">
        <v>174</v>
      </c>
      <c r="F100" s="106" t="s">
        <v>175</v>
      </c>
    </row>
    <row r="101" spans="1:15" x14ac:dyDescent="0.3">
      <c r="A101" s="239" t="s">
        <v>75</v>
      </c>
      <c r="B101" s="414" t="s">
        <v>173</v>
      </c>
      <c r="C101" s="415"/>
      <c r="D101" s="240"/>
      <c r="E101" s="241" t="s">
        <v>75</v>
      </c>
      <c r="F101" s="416" t="s">
        <v>4</v>
      </c>
      <c r="G101" s="416"/>
      <c r="H101" s="416" t="s">
        <v>5</v>
      </c>
      <c r="I101" s="416"/>
      <c r="J101" s="416" t="s">
        <v>6</v>
      </c>
      <c r="K101" s="416"/>
      <c r="L101" s="416" t="s">
        <v>7</v>
      </c>
      <c r="M101" s="416"/>
    </row>
    <row r="102" spans="1:15" ht="15" customHeight="1" x14ac:dyDescent="0.3">
      <c r="A102" s="242" t="s">
        <v>53</v>
      </c>
      <c r="B102" s="243" t="s">
        <v>1</v>
      </c>
      <c r="C102" s="244" t="s">
        <v>76</v>
      </c>
      <c r="D102" s="240"/>
      <c r="E102" s="245" t="s">
        <v>53</v>
      </c>
      <c r="F102" s="246" t="s">
        <v>1</v>
      </c>
      <c r="G102" s="247" t="s">
        <v>76</v>
      </c>
      <c r="H102" s="248" t="s">
        <v>1</v>
      </c>
      <c r="I102" s="249" t="s">
        <v>76</v>
      </c>
      <c r="J102" s="250" t="s">
        <v>1</v>
      </c>
      <c r="K102" s="247" t="s">
        <v>76</v>
      </c>
      <c r="L102" s="251" t="s">
        <v>1</v>
      </c>
      <c r="M102" s="249" t="s">
        <v>76</v>
      </c>
      <c r="N102" s="46"/>
    </row>
    <row r="103" spans="1:15" x14ac:dyDescent="0.3">
      <c r="A103" s="252" t="s">
        <v>172</v>
      </c>
      <c r="B103" s="253">
        <f>_xlfn.AGGREGATE(4,6,$K$81:$K$97)</f>
        <v>0</v>
      </c>
      <c r="C103" s="254">
        <f>_xlfn.AGGREGATE(4,6,$O$81:$O$97)</f>
        <v>0</v>
      </c>
      <c r="D103" s="240"/>
      <c r="E103" s="241" t="s">
        <v>172</v>
      </c>
      <c r="F103" s="255">
        <v>0.255</v>
      </c>
      <c r="G103" s="256">
        <v>0.19</v>
      </c>
      <c r="H103" s="255"/>
      <c r="I103" s="256"/>
      <c r="J103" s="257"/>
      <c r="K103" s="256"/>
      <c r="L103" s="258"/>
      <c r="M103" s="256"/>
      <c r="N103" s="46"/>
    </row>
    <row r="104" spans="1:15" x14ac:dyDescent="0.3">
      <c r="A104" s="252" t="s">
        <v>170</v>
      </c>
      <c r="B104" s="253">
        <f>_xlfn.AGGREGATE(5,6,$K$81:$K$97)</f>
        <v>0</v>
      </c>
      <c r="C104" s="254">
        <f>_xlfn.AGGREGATE(5,6,$O$81:$O$97)</f>
        <v>0</v>
      </c>
      <c r="D104" s="240"/>
      <c r="E104" s="241" t="s">
        <v>170</v>
      </c>
      <c r="F104" s="255">
        <v>0</v>
      </c>
      <c r="G104" s="256">
        <v>0</v>
      </c>
      <c r="H104" s="255"/>
      <c r="I104" s="256"/>
      <c r="J104" s="257"/>
      <c r="K104" s="256"/>
      <c r="L104" s="258"/>
      <c r="M104" s="256"/>
      <c r="N104" s="46"/>
    </row>
    <row r="105" spans="1:15" x14ac:dyDescent="0.3">
      <c r="A105" s="259" t="s">
        <v>171</v>
      </c>
      <c r="B105" s="260" t="e">
        <f>_xlfn.AGGREGATE(12,6,$K$81:$K$97)</f>
        <v>#NUM!</v>
      </c>
      <c r="C105" s="261" t="e">
        <f>_xlfn.AGGREGATE(12,6,$O$81:$O$97)</f>
        <v>#NUM!</v>
      </c>
      <c r="D105" s="240"/>
      <c r="E105" s="241" t="s">
        <v>171</v>
      </c>
      <c r="F105" s="262">
        <v>0.04</v>
      </c>
      <c r="G105" s="263">
        <v>0</v>
      </c>
      <c r="H105" s="262"/>
      <c r="I105" s="263"/>
      <c r="J105" s="264"/>
      <c r="K105" s="263"/>
      <c r="L105" s="265"/>
      <c r="M105" s="263"/>
      <c r="N105" s="46"/>
    </row>
    <row r="106" spans="1:15" x14ac:dyDescent="0.3">
      <c r="A106" s="240"/>
      <c r="B106" s="240"/>
      <c r="C106" s="240"/>
      <c r="D106" s="240"/>
      <c r="E106" s="240"/>
      <c r="F106" s="240"/>
      <c r="G106" s="240"/>
      <c r="H106" s="240"/>
      <c r="I106" s="240"/>
      <c r="J106" s="240"/>
      <c r="K106" s="240"/>
      <c r="L106" s="240"/>
      <c r="M106" s="240"/>
    </row>
    <row r="107" spans="1:15" x14ac:dyDescent="0.3">
      <c r="A107" s="250" t="s">
        <v>77</v>
      </c>
      <c r="B107" s="414" t="s">
        <v>173</v>
      </c>
      <c r="C107" s="415"/>
      <c r="D107" s="240"/>
      <c r="E107" s="266" t="s">
        <v>77</v>
      </c>
      <c r="F107" s="416" t="s">
        <v>4</v>
      </c>
      <c r="G107" s="416"/>
      <c r="H107" s="416" t="s">
        <v>5</v>
      </c>
      <c r="I107" s="416"/>
      <c r="J107" s="416" t="s">
        <v>6</v>
      </c>
      <c r="K107" s="416"/>
      <c r="L107" s="416" t="s">
        <v>7</v>
      </c>
      <c r="M107" s="416"/>
    </row>
    <row r="108" spans="1:15" x14ac:dyDescent="0.3">
      <c r="A108" s="267" t="s">
        <v>12</v>
      </c>
      <c r="B108" s="268" t="s">
        <v>1</v>
      </c>
      <c r="C108" s="269" t="s">
        <v>76</v>
      </c>
      <c r="D108" s="240"/>
      <c r="E108" s="266" t="s">
        <v>12</v>
      </c>
      <c r="F108" s="246" t="s">
        <v>1</v>
      </c>
      <c r="G108" s="247" t="s">
        <v>76</v>
      </c>
      <c r="H108" s="248" t="s">
        <v>1</v>
      </c>
      <c r="I108" s="249" t="s">
        <v>76</v>
      </c>
      <c r="J108" s="250" t="s">
        <v>1</v>
      </c>
      <c r="K108" s="247" t="s">
        <v>76</v>
      </c>
      <c r="L108" s="251" t="s">
        <v>1</v>
      </c>
      <c r="M108" s="249" t="s">
        <v>76</v>
      </c>
    </row>
    <row r="109" spans="1:15" x14ac:dyDescent="0.3">
      <c r="A109" s="252" t="s">
        <v>172</v>
      </c>
      <c r="B109" s="253">
        <f>_xlfn.AGGREGATE(4,6,$C$81:$C$98)</f>
        <v>0</v>
      </c>
      <c r="C109" s="254">
        <f>_xlfn.AGGREGATE(4,6,$G$81:$G$98)</f>
        <v>0</v>
      </c>
      <c r="D109" s="240"/>
      <c r="E109" s="241" t="s">
        <v>172</v>
      </c>
      <c r="F109" s="255">
        <v>0.3095</v>
      </c>
      <c r="G109" s="256">
        <v>0.1</v>
      </c>
      <c r="H109" s="255"/>
      <c r="I109" s="256"/>
      <c r="J109" s="257"/>
      <c r="K109" s="256"/>
      <c r="L109" s="258"/>
      <c r="M109" s="256"/>
    </row>
    <row r="110" spans="1:15" x14ac:dyDescent="0.3">
      <c r="A110" s="252" t="s">
        <v>170</v>
      </c>
      <c r="B110" s="253">
        <f>_xlfn.AGGREGATE(5,6,$C$81:$C$98)</f>
        <v>0</v>
      </c>
      <c r="C110" s="254">
        <f>_xlfn.AGGREGATE(5,6,$G$81:$G$98)</f>
        <v>0</v>
      </c>
      <c r="D110" s="240"/>
      <c r="E110" s="241" t="s">
        <v>170</v>
      </c>
      <c r="F110" s="255">
        <v>0</v>
      </c>
      <c r="G110" s="256">
        <v>0</v>
      </c>
      <c r="H110" s="255"/>
      <c r="I110" s="256"/>
      <c r="J110" s="257"/>
      <c r="K110" s="256"/>
      <c r="L110" s="258"/>
      <c r="M110" s="256"/>
    </row>
    <row r="111" spans="1:15" x14ac:dyDescent="0.3">
      <c r="A111" s="259" t="s">
        <v>171</v>
      </c>
      <c r="B111" s="260" t="e">
        <f>_xlfn.AGGREGATE(12,6,$C$81:$C$98)</f>
        <v>#NUM!</v>
      </c>
      <c r="C111" s="261" t="e">
        <f>_xlfn.AGGREGATE(12,6,$G$81:$G$98)</f>
        <v>#NUM!</v>
      </c>
      <c r="D111" s="240"/>
      <c r="E111" s="241" t="s">
        <v>171</v>
      </c>
      <c r="F111" s="262">
        <v>6.3399999999999998E-2</v>
      </c>
      <c r="G111" s="263">
        <v>1.6E-2</v>
      </c>
      <c r="H111" s="262"/>
      <c r="I111" s="263"/>
      <c r="J111" s="264"/>
      <c r="K111" s="263"/>
      <c r="L111" s="265"/>
      <c r="M111" s="263"/>
    </row>
  </sheetData>
  <mergeCells count="10">
    <mergeCell ref="B101:C101"/>
    <mergeCell ref="F101:G101"/>
    <mergeCell ref="H101:I101"/>
    <mergeCell ref="J101:K101"/>
    <mergeCell ref="L101:M101"/>
    <mergeCell ref="B107:C107"/>
    <mergeCell ref="F107:G107"/>
    <mergeCell ref="H107:I107"/>
    <mergeCell ref="J107:K107"/>
    <mergeCell ref="L107:M107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>
    <tabColor rgb="FFFF0000"/>
  </sheetPr>
  <dimension ref="A2:K24"/>
  <sheetViews>
    <sheetView workbookViewId="0">
      <selection activeCell="C25" sqref="C25"/>
    </sheetView>
  </sheetViews>
  <sheetFormatPr defaultRowHeight="14.4" x14ac:dyDescent="0.3"/>
  <sheetData>
    <row r="2" spans="1:11" s="99" customFormat="1" ht="23.4" x14ac:dyDescent="0.45">
      <c r="A2" s="99" t="s">
        <v>109</v>
      </c>
    </row>
    <row r="4" spans="1:11" x14ac:dyDescent="0.3">
      <c r="A4" s="73" t="s">
        <v>12</v>
      </c>
      <c r="B4" s="74"/>
      <c r="C4" s="74"/>
      <c r="D4" s="74"/>
      <c r="E4" s="74"/>
      <c r="G4" s="73" t="s">
        <v>53</v>
      </c>
      <c r="H4" s="74"/>
      <c r="I4" s="74"/>
      <c r="J4" s="74"/>
      <c r="K4" s="74"/>
    </row>
    <row r="5" spans="1:11" x14ac:dyDescent="0.3">
      <c r="A5" s="74"/>
      <c r="B5" s="74" t="s">
        <v>4</v>
      </c>
      <c r="C5" s="74" t="s">
        <v>5</v>
      </c>
      <c r="D5" s="74" t="s">
        <v>6</v>
      </c>
      <c r="E5" s="74" t="s">
        <v>7</v>
      </c>
      <c r="G5" s="74"/>
      <c r="H5" s="74" t="s">
        <v>4</v>
      </c>
      <c r="I5" s="74" t="s">
        <v>5</v>
      </c>
      <c r="J5" s="74" t="s">
        <v>6</v>
      </c>
      <c r="K5" s="74" t="s">
        <v>7</v>
      </c>
    </row>
    <row r="6" spans="1:11" x14ac:dyDescent="0.3">
      <c r="A6" s="74" t="s">
        <v>9</v>
      </c>
      <c r="B6" s="223" t="str">
        <f ca="1">Data!G49</f>
        <v>No data</v>
      </c>
      <c r="C6" s="226">
        <f ca="1">Data!G99</f>
        <v>7</v>
      </c>
      <c r="D6" s="223" t="str">
        <f ca="1">Data!G149</f>
        <v>No data</v>
      </c>
      <c r="E6" s="223" t="str">
        <f ca="1">Data!G199</f>
        <v>No data</v>
      </c>
      <c r="G6" s="74" t="s">
        <v>9</v>
      </c>
      <c r="H6" s="226" t="str">
        <f ca="1">Data!G24</f>
        <v>No data</v>
      </c>
      <c r="I6" s="226" t="str">
        <f ca="1">Data!G74</f>
        <v>No data</v>
      </c>
      <c r="J6" s="226" t="str">
        <f ca="1">Data!G124</f>
        <v>No data</v>
      </c>
      <c r="K6" s="226" t="str">
        <f ca="1">Data!G174</f>
        <v>No data</v>
      </c>
    </row>
    <row r="7" spans="1:11" x14ac:dyDescent="0.3">
      <c r="A7" s="74" t="s">
        <v>17</v>
      </c>
      <c r="B7" s="223" t="str">
        <f ca="1">Data!H49</f>
        <v>No data</v>
      </c>
      <c r="C7" s="226">
        <f ca="1">Data!H99</f>
        <v>10</v>
      </c>
      <c r="D7" s="223" t="str">
        <f ca="1">Data!H149</f>
        <v>No data</v>
      </c>
      <c r="E7" s="223" t="str">
        <f ca="1">Data!H199</f>
        <v>No data</v>
      </c>
      <c r="G7" s="74" t="s">
        <v>17</v>
      </c>
      <c r="H7" s="226" t="str">
        <f ca="1">Data!H24</f>
        <v>No data</v>
      </c>
      <c r="I7" s="226" t="str">
        <f ca="1">Data!H74</f>
        <v>No data</v>
      </c>
      <c r="J7" s="226" t="str">
        <f ca="1">Data!H124</f>
        <v>No data</v>
      </c>
      <c r="K7" s="226">
        <f>Data!IH174</f>
        <v>0</v>
      </c>
    </row>
    <row r="9" spans="1:11" x14ac:dyDescent="0.3">
      <c r="A9" s="74" t="s">
        <v>67</v>
      </c>
      <c r="G9" s="74" t="s">
        <v>90</v>
      </c>
      <c r="H9" s="33"/>
      <c r="I9" s="33"/>
      <c r="J9" s="33"/>
      <c r="K9" s="33"/>
    </row>
    <row r="10" spans="1:11" x14ac:dyDescent="0.3">
      <c r="A10" s="74"/>
      <c r="B10" s="74" t="s">
        <v>4</v>
      </c>
      <c r="C10" s="74" t="s">
        <v>5</v>
      </c>
      <c r="D10" s="74" t="s">
        <v>6</v>
      </c>
      <c r="E10" s="74" t="s">
        <v>7</v>
      </c>
      <c r="G10" s="74"/>
      <c r="H10" s="74" t="s">
        <v>4</v>
      </c>
      <c r="I10" s="74" t="s">
        <v>5</v>
      </c>
      <c r="J10" s="74" t="s">
        <v>6</v>
      </c>
      <c r="K10" s="74" t="s">
        <v>7</v>
      </c>
    </row>
    <row r="11" spans="1:11" x14ac:dyDescent="0.3">
      <c r="A11" s="74" t="s">
        <v>34</v>
      </c>
      <c r="B11" s="223" t="str">
        <f ca="1">Data!J49</f>
        <v>No data</v>
      </c>
      <c r="C11" s="226">
        <f ca="1">Data!J99</f>
        <v>0</v>
      </c>
      <c r="D11" s="226">
        <f>Data!J1077</f>
        <v>0</v>
      </c>
      <c r="E11" s="223" t="str">
        <f ca="1">Data!J199</f>
        <v>No data</v>
      </c>
      <c r="G11" s="74" t="s">
        <v>34</v>
      </c>
      <c r="H11" s="226" t="str">
        <f ca="1">Data!J24</f>
        <v>No data</v>
      </c>
      <c r="I11" s="226" t="str">
        <f ca="1">Data!J74</f>
        <v>No data</v>
      </c>
      <c r="J11" s="226" t="str">
        <f ca="1">Data!J124</f>
        <v>No data</v>
      </c>
      <c r="K11" s="226" t="str">
        <f ca="1">Data!J174</f>
        <v>No data</v>
      </c>
    </row>
    <row r="12" spans="1:11" x14ac:dyDescent="0.3">
      <c r="A12" s="74" t="s">
        <v>35</v>
      </c>
      <c r="B12" s="223" t="str">
        <f ca="1">Data!K49</f>
        <v>No data</v>
      </c>
      <c r="C12" s="226">
        <f ca="1">Data!K99</f>
        <v>0</v>
      </c>
      <c r="D12" s="226" t="str">
        <f ca="1">Data!K149</f>
        <v>No data</v>
      </c>
      <c r="E12" s="223" t="str">
        <f ca="1">Data!K199</f>
        <v>No data</v>
      </c>
      <c r="G12" s="74" t="s">
        <v>35</v>
      </c>
      <c r="H12" s="226" t="str">
        <f ca="1">Data!K24</f>
        <v>No data</v>
      </c>
      <c r="I12" s="226" t="str">
        <f ca="1">Data!K74</f>
        <v>No data</v>
      </c>
      <c r="J12" s="226" t="str">
        <f ca="1">Data!K124</f>
        <v>No data</v>
      </c>
      <c r="K12" s="226" t="str">
        <f ca="1">Data!K174</f>
        <v>No data</v>
      </c>
    </row>
    <row r="13" spans="1:11" x14ac:dyDescent="0.3">
      <c r="A13" s="74" t="s">
        <v>36</v>
      </c>
      <c r="B13" s="223" t="str">
        <f ca="1">Data!L49</f>
        <v>No data</v>
      </c>
      <c r="C13" s="226">
        <f ca="1">Data!L99</f>
        <v>0</v>
      </c>
      <c r="D13" s="226" t="str">
        <f ca="1">Data!L149</f>
        <v>No data</v>
      </c>
      <c r="E13" s="223" t="str">
        <f ca="1">Data!L199</f>
        <v>No data</v>
      </c>
      <c r="G13" s="74" t="s">
        <v>36</v>
      </c>
      <c r="H13" s="226" t="str">
        <f ca="1">Data!L24</f>
        <v>No data</v>
      </c>
      <c r="I13" s="226" t="str">
        <f ca="1">Data!L74</f>
        <v>No data</v>
      </c>
      <c r="J13" s="226" t="str">
        <f ca="1">Data!L124</f>
        <v>No data</v>
      </c>
      <c r="K13" s="226" t="str">
        <f ca="1">Data!L174</f>
        <v>No data</v>
      </c>
    </row>
    <row r="15" spans="1:11" x14ac:dyDescent="0.3">
      <c r="A15" s="74" t="s">
        <v>68</v>
      </c>
      <c r="B15" s="33"/>
      <c r="C15" s="33"/>
      <c r="D15" s="33"/>
      <c r="E15" s="33"/>
      <c r="G15" s="74" t="s">
        <v>91</v>
      </c>
      <c r="H15" s="33"/>
      <c r="I15" s="33"/>
      <c r="J15" s="33"/>
      <c r="K15" s="33"/>
    </row>
    <row r="16" spans="1:11" x14ac:dyDescent="0.3">
      <c r="A16" s="74"/>
      <c r="B16" s="74" t="s">
        <v>4</v>
      </c>
      <c r="C16" s="74" t="s">
        <v>5</v>
      </c>
      <c r="D16" s="74" t="s">
        <v>6</v>
      </c>
      <c r="E16" s="74" t="s">
        <v>7</v>
      </c>
      <c r="G16" s="74"/>
      <c r="H16" s="74" t="s">
        <v>4</v>
      </c>
      <c r="I16" s="74" t="s">
        <v>5</v>
      </c>
      <c r="J16" s="74" t="s">
        <v>6</v>
      </c>
      <c r="K16" s="74" t="s">
        <v>7</v>
      </c>
    </row>
    <row r="17" spans="1:11" x14ac:dyDescent="0.3">
      <c r="A17" s="74" t="s">
        <v>34</v>
      </c>
      <c r="B17" s="223" t="str">
        <f ca="1">Data!P49</f>
        <v>No data</v>
      </c>
      <c r="C17" s="223">
        <f ca="1">Data!P99</f>
        <v>6</v>
      </c>
      <c r="D17" s="223" t="str">
        <f ca="1">Data!P149</f>
        <v>No data</v>
      </c>
      <c r="E17" s="223" t="str">
        <f ca="1">Data!P199</f>
        <v>No data</v>
      </c>
      <c r="G17" s="74" t="s">
        <v>34</v>
      </c>
      <c r="H17" s="226" t="str">
        <f ca="1">Data!P24</f>
        <v>No data</v>
      </c>
      <c r="I17" s="226" t="str">
        <f ca="1">Data!P74</f>
        <v>No data</v>
      </c>
      <c r="J17" s="226" t="str">
        <f ca="1">Data!P124</f>
        <v>No data</v>
      </c>
      <c r="K17" s="226" t="str">
        <f ca="1">Data!P174</f>
        <v>No data</v>
      </c>
    </row>
    <row r="18" spans="1:11" x14ac:dyDescent="0.3">
      <c r="A18" s="74" t="s">
        <v>35</v>
      </c>
      <c r="B18" s="223" t="str">
        <f ca="1">Data!Q49</f>
        <v>No data</v>
      </c>
      <c r="C18" s="223">
        <f ca="1">Data!Q99</f>
        <v>5</v>
      </c>
      <c r="D18" s="223" t="str">
        <f ca="1">Data!Q149</f>
        <v>No data</v>
      </c>
      <c r="E18" s="223" t="str">
        <f ca="1">Data!Q199</f>
        <v>No data</v>
      </c>
      <c r="G18" s="74" t="s">
        <v>35</v>
      </c>
      <c r="H18" s="226" t="str">
        <f ca="1">Data!Q24</f>
        <v>No data</v>
      </c>
      <c r="I18" s="226" t="str">
        <f ca="1">Data!Q74</f>
        <v>No data</v>
      </c>
      <c r="J18" s="226" t="str">
        <f ca="1">Data!Q124</f>
        <v>No data</v>
      </c>
      <c r="K18" s="226" t="str">
        <f ca="1">Data!Q174</f>
        <v>No data</v>
      </c>
    </row>
    <row r="19" spans="1:11" x14ac:dyDescent="0.3">
      <c r="A19" s="74" t="s">
        <v>36</v>
      </c>
      <c r="B19" s="223" t="str">
        <f ca="1">Data!R49</f>
        <v>No data</v>
      </c>
      <c r="C19" s="223">
        <f ca="1">Data!R99</f>
        <v>0</v>
      </c>
      <c r="D19" s="223" t="str">
        <f ca="1">Data!R149</f>
        <v>No data</v>
      </c>
      <c r="E19" s="223" t="str">
        <f ca="1">Data!R199</f>
        <v>No data</v>
      </c>
      <c r="G19" s="74" t="s">
        <v>36</v>
      </c>
      <c r="H19" s="226" t="str">
        <f ca="1">Data!R24</f>
        <v>No data</v>
      </c>
      <c r="I19" s="226" t="str">
        <f ca="1">Data!R74</f>
        <v>No data</v>
      </c>
      <c r="J19" s="226" t="str">
        <f ca="1">Data!R124</f>
        <v>No data</v>
      </c>
      <c r="K19" s="226" t="str">
        <f ca="1">Data!R174</f>
        <v>No data</v>
      </c>
    </row>
    <row r="20" spans="1:11" s="41" customFormat="1" x14ac:dyDescent="0.3"/>
    <row r="21" spans="1:11" x14ac:dyDescent="0.3">
      <c r="A21" s="74" t="s">
        <v>69</v>
      </c>
      <c r="G21" s="74" t="s">
        <v>92</v>
      </c>
      <c r="H21" s="33"/>
      <c r="I21" s="33"/>
      <c r="J21" s="33"/>
      <c r="K21" s="33"/>
    </row>
    <row r="22" spans="1:11" x14ac:dyDescent="0.3">
      <c r="A22" s="74"/>
      <c r="B22" s="74" t="s">
        <v>4</v>
      </c>
      <c r="C22" s="74" t="s">
        <v>5</v>
      </c>
      <c r="D22" s="74" t="s">
        <v>6</v>
      </c>
      <c r="E22" s="74" t="s">
        <v>7</v>
      </c>
      <c r="G22" s="74"/>
      <c r="H22" s="74" t="s">
        <v>4</v>
      </c>
      <c r="I22" s="74" t="s">
        <v>5</v>
      </c>
      <c r="J22" s="74" t="s">
        <v>6</v>
      </c>
      <c r="K22" s="74" t="s">
        <v>7</v>
      </c>
    </row>
    <row r="23" spans="1:11" x14ac:dyDescent="0.3">
      <c r="A23" s="74" t="s">
        <v>9</v>
      </c>
      <c r="B23" s="225" t="str">
        <f ca="1">Data!U49</f>
        <v>No data</v>
      </c>
      <c r="C23" s="225">
        <f ca="1">Data!U99</f>
        <v>0.1</v>
      </c>
      <c r="D23" s="225" t="str">
        <f ca="1">Data!U149</f>
        <v>No data</v>
      </c>
      <c r="E23" s="225" t="str">
        <f ca="1">Data!U199</f>
        <v>No data</v>
      </c>
      <c r="G23" s="74" t="s">
        <v>9</v>
      </c>
      <c r="H23" s="225" t="str">
        <f ca="1">IF(Data!U24=0,NA(),Data!U24)</f>
        <v>No data</v>
      </c>
      <c r="I23" s="223" t="str">
        <f ca="1">IF(Data!U74=0,NA(),Data!U74)</f>
        <v>No data</v>
      </c>
      <c r="J23" s="223" t="str">
        <f ca="1">IF(Data!U124=0,NA(),Data!U124)</f>
        <v>No data</v>
      </c>
      <c r="K23" s="223" t="str">
        <f ca="1">IF(Data!U174=0,NA(),Data!U174)</f>
        <v>No data</v>
      </c>
    </row>
    <row r="24" spans="1:11" x14ac:dyDescent="0.3">
      <c r="A24" s="74" t="s">
        <v>17</v>
      </c>
      <c r="B24" s="225" t="str">
        <f ca="1">Data!V49</f>
        <v>No data</v>
      </c>
      <c r="C24" s="225">
        <f ca="1">Data!V99</f>
        <v>7.0000000000000007E-2</v>
      </c>
      <c r="D24" s="225" t="str">
        <f ca="1">Data!V149</f>
        <v>No data</v>
      </c>
      <c r="E24" s="225" t="str">
        <f ca="1">Data!V199</f>
        <v>No data</v>
      </c>
      <c r="G24" s="74" t="s">
        <v>17</v>
      </c>
      <c r="H24" s="225" t="str">
        <f ca="1">IF(Data!V24=0,NA(),Data!V24)</f>
        <v>No data</v>
      </c>
      <c r="I24" s="223" t="str">
        <f ca="1">IF(Data!V74=0,NA(),Data!V74)</f>
        <v>No data</v>
      </c>
      <c r="J24" s="223" t="str">
        <f ca="1">IF(Data!V124=0,NA(),Data!V124)</f>
        <v>No data</v>
      </c>
      <c r="K24" s="223" t="str">
        <f ca="1">IF(Data!V174=0,NA(),Data!V174)</f>
        <v>No data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">
    <tabColor rgb="FFFF0000"/>
  </sheetPr>
  <dimension ref="A1:K41"/>
  <sheetViews>
    <sheetView topLeftCell="A14" workbookViewId="0">
      <selection activeCell="G40" sqref="G40"/>
    </sheetView>
  </sheetViews>
  <sheetFormatPr defaultRowHeight="14.4" x14ac:dyDescent="0.3"/>
  <cols>
    <col min="2" max="2" width="62.6640625" customWidth="1"/>
    <col min="3" max="3" width="9.88671875" bestFit="1" customWidth="1"/>
    <col min="7" max="7" width="16.88671875" customWidth="1"/>
    <col min="11" max="11" width="16.109375" customWidth="1"/>
  </cols>
  <sheetData>
    <row r="1" spans="1:11" ht="15.6" x14ac:dyDescent="0.3">
      <c r="A1">
        <v>1</v>
      </c>
      <c r="B1" s="232" t="s">
        <v>157</v>
      </c>
      <c r="C1" s="33" t="s">
        <v>20</v>
      </c>
      <c r="G1" s="34" t="s">
        <v>89</v>
      </c>
      <c r="K1" s="271" t="s">
        <v>50</v>
      </c>
    </row>
    <row r="2" spans="1:11" ht="15.6" x14ac:dyDescent="0.3">
      <c r="A2">
        <v>2</v>
      </c>
      <c r="B2" s="232" t="s">
        <v>158</v>
      </c>
      <c r="C2" s="33" t="s">
        <v>20</v>
      </c>
      <c r="G2" t="s">
        <v>11</v>
      </c>
      <c r="H2" t="s">
        <v>47</v>
      </c>
      <c r="K2" s="110">
        <v>124</v>
      </c>
    </row>
    <row r="3" spans="1:11" ht="15.6" x14ac:dyDescent="0.3">
      <c r="A3" s="33">
        <v>3</v>
      </c>
      <c r="B3" s="232" t="s">
        <v>159</v>
      </c>
      <c r="C3" s="33" t="s">
        <v>20</v>
      </c>
      <c r="G3" t="s">
        <v>12</v>
      </c>
      <c r="H3" t="s">
        <v>46</v>
      </c>
      <c r="K3" s="110">
        <v>40</v>
      </c>
    </row>
    <row r="4" spans="1:11" ht="15.6" x14ac:dyDescent="0.3">
      <c r="A4" s="33">
        <v>4</v>
      </c>
      <c r="B4" s="232" t="s">
        <v>160</v>
      </c>
      <c r="C4" t="s">
        <v>20</v>
      </c>
      <c r="H4" t="s">
        <v>48</v>
      </c>
      <c r="K4" s="111">
        <v>85</v>
      </c>
    </row>
    <row r="5" spans="1:11" s="33" customFormat="1" ht="15.6" x14ac:dyDescent="0.3">
      <c r="A5" s="33">
        <v>5</v>
      </c>
      <c r="B5" s="232" t="s">
        <v>161</v>
      </c>
      <c r="C5" s="33" t="s">
        <v>20</v>
      </c>
      <c r="H5" s="33" t="s">
        <v>49</v>
      </c>
    </row>
    <row r="6" spans="1:11" s="33" customFormat="1" ht="15.6" x14ac:dyDescent="0.3">
      <c r="A6" s="33">
        <v>6</v>
      </c>
      <c r="B6" s="232" t="s">
        <v>165</v>
      </c>
      <c r="C6" s="33" t="s">
        <v>20</v>
      </c>
    </row>
    <row r="7" spans="1:11" s="33" customFormat="1" ht="15.6" x14ac:dyDescent="0.3">
      <c r="A7" s="33">
        <v>7</v>
      </c>
      <c r="B7" s="232" t="s">
        <v>166</v>
      </c>
      <c r="C7" s="33" t="s">
        <v>20</v>
      </c>
    </row>
    <row r="8" spans="1:11" s="33" customFormat="1" ht="15.6" x14ac:dyDescent="0.3">
      <c r="A8" s="33">
        <v>8</v>
      </c>
      <c r="B8" s="233" t="s">
        <v>162</v>
      </c>
      <c r="C8" s="33" t="s">
        <v>20</v>
      </c>
    </row>
    <row r="9" spans="1:11" s="33" customFormat="1" ht="15.6" x14ac:dyDescent="0.3">
      <c r="B9" s="232" t="s">
        <v>163</v>
      </c>
      <c r="C9" s="33" t="s">
        <v>20</v>
      </c>
    </row>
    <row r="10" spans="1:11" s="33" customFormat="1" ht="15.6" x14ac:dyDescent="0.3">
      <c r="A10" s="33">
        <v>9</v>
      </c>
      <c r="B10" s="232" t="s">
        <v>58</v>
      </c>
      <c r="C10" s="33" t="s">
        <v>20</v>
      </c>
    </row>
    <row r="11" spans="1:11" s="33" customFormat="1" ht="15.6" x14ac:dyDescent="0.3">
      <c r="A11" s="33">
        <v>10</v>
      </c>
      <c r="B11" s="232" t="s">
        <v>164</v>
      </c>
      <c r="C11" s="33" t="s">
        <v>20</v>
      </c>
    </row>
    <row r="12" spans="1:11" s="33" customFormat="1" ht="15.6" x14ac:dyDescent="0.3">
      <c r="A12" s="33">
        <v>11</v>
      </c>
      <c r="B12" s="232" t="s">
        <v>60</v>
      </c>
      <c r="C12" s="33" t="s">
        <v>20</v>
      </c>
    </row>
    <row r="13" spans="1:11" s="33" customFormat="1" ht="15.6" x14ac:dyDescent="0.3">
      <c r="A13" s="33">
        <v>12</v>
      </c>
      <c r="B13" s="232" t="s">
        <v>56</v>
      </c>
      <c r="C13" s="33" t="s">
        <v>20</v>
      </c>
    </row>
    <row r="14" spans="1:11" s="33" customFormat="1" ht="15.6" x14ac:dyDescent="0.3">
      <c r="A14" s="33">
        <v>13</v>
      </c>
      <c r="B14" s="232" t="s">
        <v>61</v>
      </c>
      <c r="C14" s="33" t="s">
        <v>20</v>
      </c>
    </row>
    <row r="15" spans="1:11" s="33" customFormat="1" ht="15.6" x14ac:dyDescent="0.3">
      <c r="A15" s="33">
        <v>14</v>
      </c>
      <c r="B15" s="232" t="s">
        <v>52</v>
      </c>
      <c r="C15" s="33" t="s">
        <v>20</v>
      </c>
    </row>
    <row r="16" spans="1:11" s="33" customFormat="1" ht="15.6" x14ac:dyDescent="0.3">
      <c r="A16" s="33">
        <v>15</v>
      </c>
      <c r="B16" s="232" t="s">
        <v>57</v>
      </c>
      <c r="C16" s="33" t="s">
        <v>20</v>
      </c>
    </row>
    <row r="17" spans="1:3" s="33" customFormat="1" ht="15.6" x14ac:dyDescent="0.3">
      <c r="A17" s="33">
        <v>16</v>
      </c>
      <c r="B17" s="232" t="s">
        <v>54</v>
      </c>
      <c r="C17" s="33" t="s">
        <v>20</v>
      </c>
    </row>
    <row r="18" spans="1:3" s="33" customFormat="1" ht="15.6" x14ac:dyDescent="0.3">
      <c r="A18" s="33">
        <v>17</v>
      </c>
      <c r="B18" s="232" t="s">
        <v>62</v>
      </c>
      <c r="C18" s="33" t="s">
        <v>20</v>
      </c>
    </row>
    <row r="19" spans="1:3" s="33" customFormat="1" x14ac:dyDescent="0.3">
      <c r="A19"/>
      <c r="B19" s="273">
        <v>18</v>
      </c>
      <c r="C19" s="274">
        <f>IF(B19&gt;8,B19-1,B19)</f>
        <v>17</v>
      </c>
    </row>
    <row r="22" spans="1:3" ht="15.6" x14ac:dyDescent="0.3">
      <c r="A22" s="33">
        <v>1</v>
      </c>
      <c r="B22" s="232" t="s">
        <v>157</v>
      </c>
      <c r="C22" s="33" t="s">
        <v>23</v>
      </c>
    </row>
    <row r="23" spans="1:3" ht="15.6" x14ac:dyDescent="0.3">
      <c r="A23" s="33">
        <v>2</v>
      </c>
      <c r="B23" s="232" t="s">
        <v>158</v>
      </c>
      <c r="C23" s="33" t="s">
        <v>23</v>
      </c>
    </row>
    <row r="24" spans="1:3" ht="15.6" x14ac:dyDescent="0.3">
      <c r="A24" s="33">
        <v>3</v>
      </c>
      <c r="B24" s="232" t="s">
        <v>159</v>
      </c>
      <c r="C24" s="33" t="s">
        <v>23</v>
      </c>
    </row>
    <row r="25" spans="1:3" ht="15.6" x14ac:dyDescent="0.3">
      <c r="A25" s="33">
        <v>4</v>
      </c>
      <c r="B25" s="232" t="s">
        <v>160</v>
      </c>
      <c r="C25" s="33" t="s">
        <v>23</v>
      </c>
    </row>
    <row r="26" spans="1:3" ht="15.6" x14ac:dyDescent="0.3">
      <c r="A26" s="33">
        <v>5</v>
      </c>
      <c r="B26" s="232" t="s">
        <v>161</v>
      </c>
      <c r="C26" s="33" t="s">
        <v>23</v>
      </c>
    </row>
    <row r="27" spans="1:3" ht="15.6" x14ac:dyDescent="0.3">
      <c r="A27" s="33">
        <v>6</v>
      </c>
      <c r="B27" s="232" t="s">
        <v>165</v>
      </c>
      <c r="C27" s="33" t="s">
        <v>23</v>
      </c>
    </row>
    <row r="28" spans="1:3" ht="15.6" x14ac:dyDescent="0.3">
      <c r="A28" s="33">
        <v>7</v>
      </c>
      <c r="B28" s="232" t="s">
        <v>166</v>
      </c>
      <c r="C28" s="33" t="s">
        <v>23</v>
      </c>
    </row>
    <row r="29" spans="1:3" ht="15.6" x14ac:dyDescent="0.3">
      <c r="A29" s="33">
        <v>8</v>
      </c>
      <c r="B29" s="232" t="s">
        <v>162</v>
      </c>
      <c r="C29" s="33" t="s">
        <v>23</v>
      </c>
    </row>
    <row r="30" spans="1:3" ht="15.6" x14ac:dyDescent="0.3">
      <c r="B30" s="233" t="s">
        <v>163</v>
      </c>
      <c r="C30" s="33" t="s">
        <v>23</v>
      </c>
    </row>
    <row r="31" spans="1:3" ht="15.6" x14ac:dyDescent="0.3">
      <c r="A31" s="33">
        <v>9</v>
      </c>
      <c r="B31" s="232" t="s">
        <v>58</v>
      </c>
      <c r="C31" s="33" t="s">
        <v>23</v>
      </c>
    </row>
    <row r="32" spans="1:3" ht="15.6" x14ac:dyDescent="0.3">
      <c r="A32" s="33">
        <v>10</v>
      </c>
      <c r="B32" s="232" t="s">
        <v>59</v>
      </c>
      <c r="C32" s="33" t="s">
        <v>23</v>
      </c>
    </row>
    <row r="33" spans="1:3" ht="15.6" x14ac:dyDescent="0.3">
      <c r="A33" s="33">
        <v>11</v>
      </c>
      <c r="B33" s="232" t="s">
        <v>164</v>
      </c>
      <c r="C33" s="33" t="s">
        <v>23</v>
      </c>
    </row>
    <row r="34" spans="1:3" ht="15.6" x14ac:dyDescent="0.3">
      <c r="A34" s="33">
        <v>12</v>
      </c>
      <c r="B34" s="232" t="s">
        <v>60</v>
      </c>
      <c r="C34" s="33" t="s">
        <v>23</v>
      </c>
    </row>
    <row r="35" spans="1:3" ht="15.6" x14ac:dyDescent="0.3">
      <c r="A35" s="33">
        <v>13</v>
      </c>
      <c r="B35" s="232" t="s">
        <v>56</v>
      </c>
      <c r="C35" s="33" t="s">
        <v>23</v>
      </c>
    </row>
    <row r="36" spans="1:3" ht="15.6" x14ac:dyDescent="0.3">
      <c r="A36" s="33">
        <v>14</v>
      </c>
      <c r="B36" s="232" t="s">
        <v>61</v>
      </c>
      <c r="C36" s="33" t="s">
        <v>23</v>
      </c>
    </row>
    <row r="37" spans="1:3" ht="15.6" x14ac:dyDescent="0.3">
      <c r="A37" s="33">
        <v>15</v>
      </c>
      <c r="B37" s="232" t="s">
        <v>52</v>
      </c>
      <c r="C37" s="33" t="s">
        <v>23</v>
      </c>
    </row>
    <row r="38" spans="1:3" ht="15.6" x14ac:dyDescent="0.3">
      <c r="A38" s="33">
        <v>16</v>
      </c>
      <c r="B38" s="232" t="s">
        <v>57</v>
      </c>
      <c r="C38" s="33" t="s">
        <v>23</v>
      </c>
    </row>
    <row r="39" spans="1:3" ht="15.6" x14ac:dyDescent="0.3">
      <c r="A39" s="33">
        <v>17</v>
      </c>
      <c r="B39" s="232" t="s">
        <v>54</v>
      </c>
      <c r="C39" s="33" t="s">
        <v>23</v>
      </c>
    </row>
    <row r="40" spans="1:3" ht="15.6" x14ac:dyDescent="0.3">
      <c r="A40" s="33">
        <v>18</v>
      </c>
      <c r="B40" s="232" t="s">
        <v>62</v>
      </c>
      <c r="C40" s="33" t="s">
        <v>23</v>
      </c>
    </row>
    <row r="41" spans="1:3" s="33" customFormat="1" x14ac:dyDescent="0.3">
      <c r="A41"/>
      <c r="B41" s="273">
        <v>19</v>
      </c>
      <c r="C41" s="274">
        <f>IF(B41&gt;8,B41-1,B41)</f>
        <v>18</v>
      </c>
    </row>
  </sheetData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Drop Down 6">
              <controlPr defaultSize="0" autoLine="0" autoPict="0">
                <anchor moveWithCells="1">
                  <from>
                    <xdr:col>3</xdr:col>
                    <xdr:colOff>45720</xdr:colOff>
                    <xdr:row>7</xdr:row>
                    <xdr:rowOff>38100</xdr:rowOff>
                  </from>
                  <to>
                    <xdr:col>5</xdr:col>
                    <xdr:colOff>571500</xdr:colOff>
                    <xdr:row>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Drop Down 9">
              <controlPr defaultSize="0" autoLine="0" autoPict="0">
                <anchor moveWithCells="1">
                  <from>
                    <xdr:col>3</xdr:col>
                    <xdr:colOff>60960</xdr:colOff>
                    <xdr:row>29</xdr:row>
                    <xdr:rowOff>38100</xdr:rowOff>
                  </from>
                  <to>
                    <xdr:col>5</xdr:col>
                    <xdr:colOff>571500</xdr:colOff>
                    <xdr:row>30</xdr:row>
                    <xdr:rowOff>182880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62"/>
  <sheetViews>
    <sheetView showGridLines="0" zoomScale="85" zoomScaleNormal="85" workbookViewId="0">
      <selection activeCell="B3" sqref="B3"/>
    </sheetView>
  </sheetViews>
  <sheetFormatPr defaultColWidth="0" defaultRowHeight="0" customHeight="1" zeroHeight="1" x14ac:dyDescent="0.3"/>
  <cols>
    <col min="1" max="1" width="4" style="178" customWidth="1"/>
    <col min="2" max="2" width="60.109375" style="178" customWidth="1"/>
    <col min="3" max="3" width="11.6640625" style="178" customWidth="1"/>
    <col min="4" max="4" width="7.6640625" style="178" customWidth="1"/>
    <col min="5" max="5" width="10" style="178" customWidth="1"/>
    <col min="6" max="7" width="12" style="178" customWidth="1"/>
    <col min="8" max="8" width="5.109375" style="448" customWidth="1"/>
    <col min="9" max="9" width="6.88671875" style="178" customWidth="1"/>
    <col min="10" max="10" width="5.109375" style="448" customWidth="1"/>
    <col min="11" max="11" width="6.88671875" style="178" customWidth="1"/>
    <col min="12" max="12" width="5.109375" style="448" customWidth="1"/>
    <col min="13" max="13" width="6.88671875" style="178" customWidth="1"/>
    <col min="14" max="14" width="5.109375" style="448" customWidth="1"/>
    <col min="15" max="15" width="6.88671875" style="178" customWidth="1"/>
    <col min="16" max="16" width="11.5546875" style="178" customWidth="1"/>
    <col min="17" max="17" width="5.109375" style="448" customWidth="1"/>
    <col min="18" max="18" width="6.88671875" style="178" customWidth="1"/>
    <col min="19" max="19" width="5.109375" style="448" customWidth="1"/>
    <col min="20" max="20" width="6.88671875" style="178" customWidth="1"/>
    <col min="21" max="21" width="5.109375" style="448" customWidth="1"/>
    <col min="22" max="22" width="6.88671875" style="178" customWidth="1"/>
    <col min="23" max="23" width="5.109375" style="448" customWidth="1"/>
    <col min="24" max="24" width="6.88671875" style="178" customWidth="1"/>
    <col min="25" max="25" width="11.5546875" style="178" customWidth="1"/>
    <col min="26" max="27" width="10.6640625" style="178" customWidth="1"/>
    <col min="28" max="28" width="9.109375" style="178" customWidth="1"/>
    <col min="29" max="30" width="0" style="33" hidden="1" customWidth="1"/>
    <col min="31" max="16384" width="9.109375" style="33" hidden="1"/>
  </cols>
  <sheetData>
    <row r="1" spans="1:28" ht="35.25" customHeight="1" x14ac:dyDescent="0.3">
      <c r="A1" s="10"/>
      <c r="B1" s="96" t="s">
        <v>101</v>
      </c>
      <c r="C1" s="83"/>
      <c r="D1" s="83"/>
      <c r="E1" s="83"/>
      <c r="F1" s="83"/>
      <c r="G1" s="83"/>
      <c r="H1" s="116"/>
      <c r="I1" s="83"/>
      <c r="J1" s="116"/>
      <c r="K1" s="83"/>
      <c r="L1" s="116"/>
      <c r="M1" s="83"/>
      <c r="N1" s="116"/>
      <c r="O1" s="83"/>
      <c r="P1" s="83"/>
      <c r="Q1" s="116"/>
      <c r="R1" s="83"/>
      <c r="S1" s="116"/>
      <c r="T1" s="83"/>
      <c r="U1" s="116"/>
      <c r="V1" s="83"/>
      <c r="W1" s="116"/>
      <c r="X1" s="83"/>
      <c r="Y1" s="83"/>
      <c r="Z1" s="83"/>
      <c r="AA1" s="83"/>
      <c r="AB1" s="83"/>
    </row>
    <row r="2" spans="1:28" s="41" customFormat="1" ht="5.0999999999999996" customHeight="1" x14ac:dyDescent="0.3">
      <c r="B2" s="123"/>
      <c r="C2" s="124"/>
      <c r="D2" s="124"/>
      <c r="E2" s="124"/>
      <c r="F2" s="124"/>
      <c r="G2" s="124"/>
      <c r="H2" s="125"/>
      <c r="I2" s="124"/>
      <c r="J2" s="125"/>
      <c r="K2" s="124"/>
      <c r="L2" s="125"/>
      <c r="M2" s="124"/>
      <c r="N2" s="125"/>
      <c r="O2" s="124"/>
      <c r="P2" s="124"/>
      <c r="Q2" s="125"/>
      <c r="R2" s="124"/>
      <c r="S2" s="125"/>
      <c r="T2" s="124"/>
      <c r="U2" s="125"/>
      <c r="V2" s="124"/>
      <c r="W2" s="125"/>
      <c r="X2" s="124"/>
      <c r="Y2" s="124"/>
      <c r="AB2" s="124"/>
    </row>
    <row r="3" spans="1:28" s="92" customFormat="1" ht="31.5" customHeight="1" x14ac:dyDescent="0.35">
      <c r="A3" s="419"/>
      <c r="B3" s="449" t="s">
        <v>95</v>
      </c>
      <c r="C3" s="93"/>
      <c r="D3" s="93"/>
      <c r="E3" s="93"/>
      <c r="F3" s="93"/>
      <c r="G3" s="419"/>
      <c r="H3" s="117"/>
      <c r="I3" s="93"/>
      <c r="J3" s="117"/>
      <c r="K3" s="93"/>
      <c r="L3" s="117"/>
      <c r="M3" s="94"/>
      <c r="N3" s="117"/>
      <c r="O3" s="94"/>
      <c r="P3" s="94"/>
      <c r="Q3" s="117"/>
      <c r="R3" s="94"/>
      <c r="S3" s="117"/>
      <c r="T3" s="94"/>
      <c r="U3" s="117"/>
      <c r="V3" s="94"/>
      <c r="W3" s="117"/>
      <c r="X3" s="94"/>
      <c r="Y3" s="94"/>
      <c r="Z3" s="93"/>
      <c r="AA3" s="95"/>
      <c r="AB3" s="419"/>
    </row>
    <row r="4" spans="1:28" ht="35.4" customHeight="1" thickBot="1" x14ac:dyDescent="0.5">
      <c r="B4" s="127" t="s">
        <v>191</v>
      </c>
      <c r="C4" s="13"/>
      <c r="D4" s="13"/>
      <c r="E4" s="13"/>
      <c r="F4" s="42"/>
      <c r="G4" s="13"/>
      <c r="H4" s="118"/>
      <c r="I4" s="13"/>
      <c r="J4" s="118"/>
      <c r="K4" s="13"/>
      <c r="L4" s="118"/>
      <c r="M4" s="14"/>
      <c r="N4" s="118"/>
      <c r="O4" s="14"/>
      <c r="P4" s="14"/>
      <c r="Q4" s="118"/>
      <c r="R4" s="14"/>
      <c r="S4" s="118"/>
      <c r="T4" s="14"/>
      <c r="U4" s="118"/>
      <c r="V4" s="14"/>
      <c r="W4" s="118"/>
      <c r="X4" s="14"/>
      <c r="Y4" s="14"/>
      <c r="Z4" s="13"/>
      <c r="AA4" s="15"/>
    </row>
    <row r="5" spans="1:28" ht="30.75" customHeight="1" thickTop="1" thickBot="1" x14ac:dyDescent="0.35">
      <c r="B5" s="327" t="s">
        <v>14</v>
      </c>
      <c r="C5" s="328" t="s">
        <v>18</v>
      </c>
      <c r="D5" s="328" t="s">
        <v>65</v>
      </c>
      <c r="E5" s="328" t="s">
        <v>19</v>
      </c>
      <c r="F5" s="288" t="s">
        <v>24</v>
      </c>
      <c r="G5" s="289"/>
      <c r="H5" s="288" t="s">
        <v>27</v>
      </c>
      <c r="I5" s="294"/>
      <c r="J5" s="294"/>
      <c r="K5" s="294"/>
      <c r="L5" s="294"/>
      <c r="M5" s="294"/>
      <c r="N5" s="294"/>
      <c r="O5" s="294"/>
      <c r="P5" s="294"/>
      <c r="Q5" s="294"/>
      <c r="R5" s="294"/>
      <c r="S5" s="294"/>
      <c r="T5" s="294"/>
      <c r="U5" s="294"/>
      <c r="V5" s="294"/>
      <c r="W5" s="294"/>
      <c r="X5" s="294"/>
      <c r="Y5" s="294"/>
      <c r="Z5" s="288" t="s">
        <v>3</v>
      </c>
      <c r="AA5" s="289"/>
    </row>
    <row r="6" spans="1:28" ht="44.1" customHeight="1" thickTop="1" thickBot="1" x14ac:dyDescent="0.35">
      <c r="B6" s="327"/>
      <c r="C6" s="329"/>
      <c r="D6" s="329"/>
      <c r="E6" s="329"/>
      <c r="F6" s="290" t="s">
        <v>25</v>
      </c>
      <c r="G6" s="292" t="s">
        <v>26</v>
      </c>
      <c r="H6" s="288" t="s">
        <v>32</v>
      </c>
      <c r="I6" s="294"/>
      <c r="J6" s="294"/>
      <c r="K6" s="294"/>
      <c r="L6" s="294"/>
      <c r="M6" s="294"/>
      <c r="N6" s="294"/>
      <c r="O6" s="294"/>
      <c r="P6" s="294"/>
      <c r="Q6" s="288" t="s">
        <v>31</v>
      </c>
      <c r="R6" s="294"/>
      <c r="S6" s="294"/>
      <c r="T6" s="294"/>
      <c r="U6" s="294"/>
      <c r="V6" s="294"/>
      <c r="W6" s="294"/>
      <c r="X6" s="294"/>
      <c r="Y6" s="294"/>
      <c r="Z6" s="290" t="s">
        <v>9</v>
      </c>
      <c r="AA6" s="292" t="s">
        <v>17</v>
      </c>
    </row>
    <row r="7" spans="1:28" ht="49.5" customHeight="1" thickTop="1" thickBot="1" x14ac:dyDescent="0.35">
      <c r="B7" s="327"/>
      <c r="C7" s="330"/>
      <c r="D7" s="330"/>
      <c r="E7" s="330"/>
      <c r="F7" s="291"/>
      <c r="G7" s="293"/>
      <c r="H7" s="295" t="s">
        <v>117</v>
      </c>
      <c r="I7" s="296"/>
      <c r="J7" s="297" t="s">
        <v>28</v>
      </c>
      <c r="K7" s="297"/>
      <c r="L7" s="297" t="s">
        <v>29</v>
      </c>
      <c r="M7" s="297"/>
      <c r="N7" s="298" t="s">
        <v>30</v>
      </c>
      <c r="O7" s="297"/>
      <c r="P7" s="276" t="s">
        <v>118</v>
      </c>
      <c r="Q7" s="295" t="s">
        <v>117</v>
      </c>
      <c r="R7" s="296"/>
      <c r="S7" s="297" t="s">
        <v>28</v>
      </c>
      <c r="T7" s="297"/>
      <c r="U7" s="297" t="s">
        <v>29</v>
      </c>
      <c r="V7" s="297"/>
      <c r="W7" s="298" t="s">
        <v>30</v>
      </c>
      <c r="X7" s="297"/>
      <c r="Y7" s="276" t="s">
        <v>118</v>
      </c>
      <c r="Z7" s="291"/>
      <c r="AA7" s="293"/>
    </row>
    <row r="8" spans="1:28" s="8" customFormat="1" ht="21.75" customHeight="1" thickTop="1" thickBot="1" x14ac:dyDescent="0.35">
      <c r="A8" s="420"/>
      <c r="B8" s="421" t="str">
        <f>INDEX(Q1_Adult,14,2)</f>
        <v>Bristol, Bristol Heart Institute / Bristol Royal Hospital for Children</v>
      </c>
      <c r="C8" s="421" t="s">
        <v>20</v>
      </c>
      <c r="D8" s="422">
        <v>1</v>
      </c>
      <c r="E8" s="421" t="s">
        <v>21</v>
      </c>
      <c r="F8" s="64">
        <f>INDEX(Q1_Adult,14,7)</f>
        <v>22</v>
      </c>
      <c r="G8" s="70" t="str">
        <f>INDEX(Q1_Adult,14,8)</f>
        <v>N/A</v>
      </c>
      <c r="H8" s="210">
        <f>INDEX(Q1_Adult,14,9)</f>
        <v>654</v>
      </c>
      <c r="I8" s="200">
        <f>IFERROR(H8/P8,0)</f>
        <v>0.44369063772048845</v>
      </c>
      <c r="J8" s="201">
        <f>INDEX(Q1_Adult,14,10)</f>
        <v>446</v>
      </c>
      <c r="K8" s="200">
        <f>IFERROR(J8/P8,0)</f>
        <v>0.30257801899592945</v>
      </c>
      <c r="L8" s="201">
        <f>INDEX(Q1_Adult,14,11)</f>
        <v>284</v>
      </c>
      <c r="M8" s="200">
        <f>IFERROR(L8/P8,0)</f>
        <v>0.19267299864314791</v>
      </c>
      <c r="N8" s="201">
        <f>INDEX(Q1_Adult,14,12)</f>
        <v>90</v>
      </c>
      <c r="O8" s="200">
        <f>IFERROR(N8/P8,0)</f>
        <v>6.1058344640434192E-2</v>
      </c>
      <c r="P8" s="202">
        <f>INDEX(Q1_Adult,14,13)</f>
        <v>1474</v>
      </c>
      <c r="Q8" s="199" t="str">
        <f>INDEX(Q1_Adult,14,15)</f>
        <v>N/A</v>
      </c>
      <c r="R8" s="200">
        <f>IFERROR(Q8/Y8,0)</f>
        <v>0</v>
      </c>
      <c r="S8" s="201" t="str">
        <f>INDEX(Q1_Adult,14,16)</f>
        <v>N/A</v>
      </c>
      <c r="T8" s="200">
        <f>IFERROR(S8/Y8,0)</f>
        <v>0</v>
      </c>
      <c r="U8" s="423" t="str">
        <f>INDEX(Q1_Adult,14,17)</f>
        <v>N/A</v>
      </c>
      <c r="V8" s="200">
        <f>IFERROR(U8/Y8,0)</f>
        <v>0</v>
      </c>
      <c r="W8" s="201" t="str">
        <f>INDEX(Q1_Adult,14,18)</f>
        <v>N/A</v>
      </c>
      <c r="X8" s="200">
        <f>IFERROR(W8/Y8,0)</f>
        <v>0</v>
      </c>
      <c r="Y8" s="113">
        <f>INDEX(Q1_Adult,14,19)</f>
        <v>0</v>
      </c>
      <c r="Z8" s="66">
        <f>INDEX(Q1_Adult,14,21)</f>
        <v>0.08</v>
      </c>
      <c r="AA8" s="67">
        <f>INDEX(Q1_Adult,14,22)</f>
        <v>0</v>
      </c>
      <c r="AB8" s="420"/>
    </row>
    <row r="9" spans="1:28" s="8" customFormat="1" ht="21.75" customHeight="1" thickTop="1" thickBot="1" x14ac:dyDescent="0.35">
      <c r="A9" s="420"/>
      <c r="B9" s="424" t="str">
        <f>INDEX(Q1_Adult,6,2)</f>
        <v>Cardiff &amp; Vale UHB, Noah’s Ark / University Hospital Wales</v>
      </c>
      <c r="C9" s="424" t="s">
        <v>20</v>
      </c>
      <c r="D9" s="425">
        <v>2</v>
      </c>
      <c r="E9" s="424" t="s">
        <v>22</v>
      </c>
      <c r="F9" s="65" t="str">
        <f>INDEX(Q1_Adult,6,7)</f>
        <v>No data</v>
      </c>
      <c r="G9" s="71" t="str">
        <f>INDEX(Q1_Adult,6,8)</f>
        <v>No data</v>
      </c>
      <c r="H9" s="204" t="str">
        <f>INDEX(Q1_Adult,6,9)</f>
        <v>No data</v>
      </c>
      <c r="I9" s="205">
        <f>IFERROR(H9/P9,0)</f>
        <v>0</v>
      </c>
      <c r="J9" s="206" t="str">
        <f>INDEX(Q1_Adult,6,10)</f>
        <v>No data</v>
      </c>
      <c r="K9" s="205">
        <f>IFERROR(J9/P9,0)</f>
        <v>0</v>
      </c>
      <c r="L9" s="206" t="str">
        <f>INDEX(Q1_Adult,6,11)</f>
        <v>No data</v>
      </c>
      <c r="M9" s="205">
        <f>IFERROR(L9/P9,0)</f>
        <v>0</v>
      </c>
      <c r="N9" s="206" t="str">
        <f>INDEX(Q1_Adult,6,12)</f>
        <v>No data</v>
      </c>
      <c r="O9" s="205">
        <f>IFERROR(N9/P9,0)</f>
        <v>0</v>
      </c>
      <c r="P9" s="207" t="str">
        <f>INDEX(Q1_Adult,6,13)</f>
        <v>No data</v>
      </c>
      <c r="Q9" s="208" t="str">
        <f>INDEX(Q1_Adult,6,15)</f>
        <v>No data</v>
      </c>
      <c r="R9" s="205">
        <f>IFERROR(Q9/Y9,0)</f>
        <v>0</v>
      </c>
      <c r="S9" s="206" t="str">
        <f>INDEX(Q1_Adult,6,16)</f>
        <v>No data</v>
      </c>
      <c r="T9" s="205">
        <f>IFERROR(S9/Y9,0)</f>
        <v>0</v>
      </c>
      <c r="U9" s="426" t="str">
        <f>INDEX(Q1_Adult,6,17)</f>
        <v>No data</v>
      </c>
      <c r="V9" s="205">
        <f>IFERROR(U9/Y9,0)</f>
        <v>0</v>
      </c>
      <c r="W9" s="206" t="str">
        <f>INDEX(Q1_Adult,6,18)</f>
        <v>No data</v>
      </c>
      <c r="X9" s="205">
        <f>IFERROR(W9/Y9,0)</f>
        <v>0</v>
      </c>
      <c r="Y9" s="114" t="str">
        <f>INDEX(Q1_Adult,6,19)</f>
        <v>No data</v>
      </c>
      <c r="Z9" s="68" t="str">
        <f>INDEX(Q1_Adult,6,21)</f>
        <v>No data</v>
      </c>
      <c r="AA9" s="69" t="str">
        <f>INDEX(Q1_Adult,6,22)</f>
        <v>No data</v>
      </c>
      <c r="AB9" s="420"/>
    </row>
    <row r="10" spans="1:28" s="82" customFormat="1" ht="21.75" customHeight="1" thickTop="1" thickBot="1" x14ac:dyDescent="0.35">
      <c r="A10" s="427"/>
      <c r="B10" s="421" t="str">
        <f>INDEX(Q1_Adult,5,2)</f>
        <v>Aneurin Bevan UHB, Nevill Hall &amp; Royal Gwent Hospitals</v>
      </c>
      <c r="C10" s="421" t="s">
        <v>20</v>
      </c>
      <c r="D10" s="422">
        <v>3</v>
      </c>
      <c r="E10" s="421" t="s">
        <v>22</v>
      </c>
      <c r="F10" s="64">
        <f>INDEX(Q1_Adult,5,7)</f>
        <v>0</v>
      </c>
      <c r="G10" s="70">
        <f>INDEX(Q1_Adult,5,8)</f>
        <v>0</v>
      </c>
      <c r="H10" s="210">
        <f>INDEX(Q1_Adult,5,9)</f>
        <v>0</v>
      </c>
      <c r="I10" s="200">
        <f>IFERROR(H10/P10,0)</f>
        <v>0</v>
      </c>
      <c r="J10" s="201">
        <f>INDEX(Q1_Adult,5,10)</f>
        <v>0</v>
      </c>
      <c r="K10" s="200">
        <f>IFERROR(J10/P10,0)</f>
        <v>0</v>
      </c>
      <c r="L10" s="201">
        <f>INDEX(Q1_Adult,5,11)</f>
        <v>0</v>
      </c>
      <c r="M10" s="200">
        <f>IFERROR(L10/P10,0)</f>
        <v>0</v>
      </c>
      <c r="N10" s="201">
        <f>INDEX(Q1_Adult,5,12)</f>
        <v>0</v>
      </c>
      <c r="O10" s="200">
        <f>IFERROR(N10/P10,0)</f>
        <v>0</v>
      </c>
      <c r="P10" s="202">
        <f>INDEX(Q1_Adult,5,13)</f>
        <v>0</v>
      </c>
      <c r="Q10" s="199">
        <f>INDEX(Q1_Adult,5,15)</f>
        <v>16</v>
      </c>
      <c r="R10" s="200">
        <f>IFERROR(Q10/Y10,0)</f>
        <v>7.5117370892018781E-2</v>
      </c>
      <c r="S10" s="201">
        <f>INDEX(Q1_Adult,5,16)</f>
        <v>28</v>
      </c>
      <c r="T10" s="200">
        <f>IFERROR(S10/Y10,0)</f>
        <v>0.13145539906103287</v>
      </c>
      <c r="U10" s="423">
        <f>INDEX(Q1_Adult,5,17)</f>
        <v>53</v>
      </c>
      <c r="V10" s="200">
        <f>IFERROR(U10/Y10,0)</f>
        <v>0.24882629107981222</v>
      </c>
      <c r="W10" s="201">
        <f>INDEX(Q1_Adult,5,18)</f>
        <v>116</v>
      </c>
      <c r="X10" s="200">
        <f>IFERROR(W10/Y10,0)</f>
        <v>0.54460093896713613</v>
      </c>
      <c r="Y10" s="113">
        <f>INDEX(Q1_Adult,5,19)</f>
        <v>213</v>
      </c>
      <c r="Z10" s="66">
        <f>INDEX(Q1_Adult,5,21)</f>
        <v>0</v>
      </c>
      <c r="AA10" s="67">
        <f>INDEX(Q1_Adult,5,22)</f>
        <v>0</v>
      </c>
      <c r="AB10" s="427"/>
    </row>
    <row r="11" spans="1:28" s="8" customFormat="1" ht="21.75" customHeight="1" thickTop="1" thickBot="1" x14ac:dyDescent="0.35">
      <c r="A11" s="420"/>
      <c r="B11" s="424" t="str">
        <f>INDEX(Q1_Adult,7,2)</f>
        <v>Cwm Taf Morgannwg UHB, Princess of Wales Hospital</v>
      </c>
      <c r="C11" s="424" t="s">
        <v>20</v>
      </c>
      <c r="D11" s="425">
        <v>3</v>
      </c>
      <c r="E11" s="424" t="s">
        <v>22</v>
      </c>
      <c r="F11" s="65">
        <f>INDEX(Q1_Adult,7,7)</f>
        <v>0</v>
      </c>
      <c r="G11" s="71">
        <f>INDEX(Q1_Adult,7,8)</f>
        <v>0</v>
      </c>
      <c r="H11" s="204">
        <f>INDEX(Q1_Adult,7,9)</f>
        <v>0</v>
      </c>
      <c r="I11" s="205">
        <f t="shared" ref="I11:I24" si="0">IFERROR(H11/P11,0)</f>
        <v>0</v>
      </c>
      <c r="J11" s="206">
        <f>INDEX(Q1_Adult,7,10)</f>
        <v>0</v>
      </c>
      <c r="K11" s="205">
        <f t="shared" ref="K11:K24" si="1">IFERROR(J11/P11,0)</f>
        <v>0</v>
      </c>
      <c r="L11" s="206">
        <f>INDEX(Q1_Adult,7,11)</f>
        <v>0</v>
      </c>
      <c r="M11" s="205">
        <f t="shared" ref="M11:M24" si="2">IFERROR(L11/P11,0)</f>
        <v>0</v>
      </c>
      <c r="N11" s="206">
        <f>INDEX(Q1_Adult,7,12)</f>
        <v>0</v>
      </c>
      <c r="O11" s="205">
        <f t="shared" ref="O11:O24" si="3">IFERROR(N11/P11,0)</f>
        <v>0</v>
      </c>
      <c r="P11" s="207">
        <f>INDEX(Q1_Adult,7,13)</f>
        <v>0</v>
      </c>
      <c r="Q11" s="208">
        <f>INDEX(Q1_Adult,7,15)</f>
        <v>38</v>
      </c>
      <c r="R11" s="205">
        <f t="shared" ref="R11:R24" si="4">IFERROR(Q11/Y11,0)</f>
        <v>0.11209439528023599</v>
      </c>
      <c r="S11" s="206">
        <f>INDEX(Q1_Adult,7,16)</f>
        <v>41</v>
      </c>
      <c r="T11" s="205">
        <f t="shared" ref="T11:T24" si="5">IFERROR(S11/Y11,0)</f>
        <v>0.12094395280235988</v>
      </c>
      <c r="U11" s="426">
        <f>INDEX(Q1_Adult,7,17)</f>
        <v>93</v>
      </c>
      <c r="V11" s="205">
        <f t="shared" ref="V11:V24" si="6">IFERROR(U11/Y11,0)</f>
        <v>0.27433628318584069</v>
      </c>
      <c r="W11" s="206">
        <f>INDEX(Q1_Adult,7,18)</f>
        <v>167</v>
      </c>
      <c r="X11" s="205">
        <f t="shared" ref="X11:X24" si="7">IFERROR(W11/Y11,0)</f>
        <v>0.49262536873156343</v>
      </c>
      <c r="Y11" s="114">
        <f>INDEX(Q1_Adult,7,19)</f>
        <v>339</v>
      </c>
      <c r="Z11" s="68">
        <f>INDEX(Q1_Adult,7,21)</f>
        <v>0</v>
      </c>
      <c r="AA11" s="69">
        <f>INDEX(Q1_Adult,7,22)</f>
        <v>0</v>
      </c>
      <c r="AB11" s="420"/>
    </row>
    <row r="12" spans="1:28" s="8" customFormat="1" ht="21.75" customHeight="1" thickTop="1" thickBot="1" x14ac:dyDescent="0.35">
      <c r="A12" s="420"/>
      <c r="B12" s="421" t="str">
        <f>INDEX(Q1_Adult,8,2)</f>
        <v xml:space="preserve">Cwm Taf Morgannwg UHB, Royal Glamorgan Hospital </v>
      </c>
      <c r="C12" s="421" t="s">
        <v>20</v>
      </c>
      <c r="D12" s="422">
        <v>3</v>
      </c>
      <c r="E12" s="421" t="s">
        <v>22</v>
      </c>
      <c r="F12" s="64">
        <f>INDEX(Q1_Adult,8,7)</f>
        <v>0</v>
      </c>
      <c r="G12" s="70">
        <f>INDEX(Q1_Adult,8,8)</f>
        <v>0</v>
      </c>
      <c r="H12" s="210">
        <f>INDEX(Q1_Adult,8,9)</f>
        <v>0</v>
      </c>
      <c r="I12" s="200">
        <f t="shared" si="0"/>
        <v>0</v>
      </c>
      <c r="J12" s="201">
        <f>INDEX(Q1_Adult,8,10)</f>
        <v>0</v>
      </c>
      <c r="K12" s="200">
        <f t="shared" si="1"/>
        <v>0</v>
      </c>
      <c r="L12" s="201">
        <f>INDEX(Q1_Adult,8,11)</f>
        <v>0</v>
      </c>
      <c r="M12" s="200">
        <f t="shared" si="2"/>
        <v>0</v>
      </c>
      <c r="N12" s="201">
        <f>INDEX(Q1_Adult,8,12)</f>
        <v>0</v>
      </c>
      <c r="O12" s="200">
        <f t="shared" si="3"/>
        <v>0</v>
      </c>
      <c r="P12" s="202">
        <f>INDEX(Q1_Adult,8,13)</f>
        <v>0</v>
      </c>
      <c r="Q12" s="199">
        <f>INDEX(Q1_Adult,8,15)</f>
        <v>0</v>
      </c>
      <c r="R12" s="200">
        <f t="shared" si="4"/>
        <v>0</v>
      </c>
      <c r="S12" s="201">
        <f>INDEX(Q1_Adult,8,16)</f>
        <v>0</v>
      </c>
      <c r="T12" s="200">
        <f t="shared" si="5"/>
        <v>0</v>
      </c>
      <c r="U12" s="423">
        <f>INDEX(Q1_Adult,8,17)</f>
        <v>0</v>
      </c>
      <c r="V12" s="200">
        <f t="shared" si="6"/>
        <v>0</v>
      </c>
      <c r="W12" s="201">
        <f>INDEX(Q1_Adult,8,18)</f>
        <v>0</v>
      </c>
      <c r="X12" s="200">
        <f t="shared" si="7"/>
        <v>0</v>
      </c>
      <c r="Y12" s="113">
        <f>INDEX(Q1_Adult,8,19)</f>
        <v>0</v>
      </c>
      <c r="Z12" s="66">
        <f>INDEX(Q1_Adult,8,21)</f>
        <v>0</v>
      </c>
      <c r="AA12" s="67">
        <f>INDEX(Q1_Adult,8,22)</f>
        <v>0</v>
      </c>
      <c r="AB12" s="420"/>
    </row>
    <row r="13" spans="1:28" s="8" customFormat="1" ht="21.75" customHeight="1" thickTop="1" thickBot="1" x14ac:dyDescent="0.35">
      <c r="A13" s="420"/>
      <c r="B13" s="424" t="str">
        <f>INDEX(Q1_Adult,9,2)</f>
        <v>Cwm Taf Morgannwg UHB, Prince Charles Hospital</v>
      </c>
      <c r="C13" s="424" t="s">
        <v>20</v>
      </c>
      <c r="D13" s="425">
        <v>3</v>
      </c>
      <c r="E13" s="424" t="s">
        <v>22</v>
      </c>
      <c r="F13" s="65">
        <f>INDEX(Q1_Adult,9,7)</f>
        <v>0</v>
      </c>
      <c r="G13" s="71">
        <f>INDEX(Q1_Adult,9,8)</f>
        <v>0</v>
      </c>
      <c r="H13" s="204">
        <f>INDEX(Q1_Adult,9,9)</f>
        <v>0</v>
      </c>
      <c r="I13" s="205">
        <f t="shared" si="0"/>
        <v>0</v>
      </c>
      <c r="J13" s="206">
        <f>INDEX(Q1_Adult,9,10)</f>
        <v>0</v>
      </c>
      <c r="K13" s="205">
        <f t="shared" si="1"/>
        <v>0</v>
      </c>
      <c r="L13" s="206">
        <f>INDEX(Q1_Adult,9,11)</f>
        <v>0</v>
      </c>
      <c r="M13" s="205">
        <f t="shared" si="2"/>
        <v>0</v>
      </c>
      <c r="N13" s="206">
        <f>INDEX(Q1_Adult,9,12)</f>
        <v>0</v>
      </c>
      <c r="O13" s="205">
        <f t="shared" si="3"/>
        <v>0</v>
      </c>
      <c r="P13" s="207">
        <f>INDEX(Q1_Adult,9,13)</f>
        <v>0</v>
      </c>
      <c r="Q13" s="208">
        <f>INDEX(Q1_Adult,9,15)</f>
        <v>0</v>
      </c>
      <c r="R13" s="205">
        <f t="shared" si="4"/>
        <v>0</v>
      </c>
      <c r="S13" s="206">
        <f>INDEX(Q1_Adult,9,16)</f>
        <v>0</v>
      </c>
      <c r="T13" s="205">
        <f t="shared" si="5"/>
        <v>0</v>
      </c>
      <c r="U13" s="426">
        <f>INDEX(Q1_Adult,9,17)</f>
        <v>0</v>
      </c>
      <c r="V13" s="205">
        <f t="shared" si="6"/>
        <v>0</v>
      </c>
      <c r="W13" s="206">
        <f>INDEX(Q1_Adult,9,18)</f>
        <v>0</v>
      </c>
      <c r="X13" s="205">
        <f t="shared" si="7"/>
        <v>0</v>
      </c>
      <c r="Y13" s="114">
        <f>INDEX(Q1_Adult,9,19)</f>
        <v>0</v>
      </c>
      <c r="Z13" s="68">
        <f>INDEX(Q1_Adult,9,21)</f>
        <v>0</v>
      </c>
      <c r="AA13" s="69">
        <f>INDEX(Q1_Adult,9,22)</f>
        <v>0</v>
      </c>
      <c r="AB13" s="420"/>
    </row>
    <row r="14" spans="1:28" s="8" customFormat="1" ht="21.75" customHeight="1" thickTop="1" thickBot="1" x14ac:dyDescent="0.35">
      <c r="A14" s="420"/>
      <c r="B14" s="421" t="str">
        <f>INDEX(Q1_Adult,10,2)</f>
        <v>Hywel Dda UHB, Glangwilli Hospital</v>
      </c>
      <c r="C14" s="421" t="s">
        <v>20</v>
      </c>
      <c r="D14" s="422">
        <v>3</v>
      </c>
      <c r="E14" s="421" t="s">
        <v>22</v>
      </c>
      <c r="F14" s="64">
        <f>INDEX(Q1_Adult,10,7)</f>
        <v>0</v>
      </c>
      <c r="G14" s="70">
        <f>INDEX(Q1_Adult,10,8)</f>
        <v>13</v>
      </c>
      <c r="H14" s="210">
        <f>INDEX(Q1_Adult,10,9)</f>
        <v>0</v>
      </c>
      <c r="I14" s="200">
        <f t="shared" si="0"/>
        <v>0</v>
      </c>
      <c r="J14" s="201">
        <f>INDEX(Q1_Adult,10,10)</f>
        <v>0</v>
      </c>
      <c r="K14" s="200">
        <f t="shared" si="1"/>
        <v>0</v>
      </c>
      <c r="L14" s="201">
        <f>INDEX(Q1_Adult,10,11)</f>
        <v>0</v>
      </c>
      <c r="M14" s="200">
        <f t="shared" si="2"/>
        <v>0</v>
      </c>
      <c r="N14" s="201">
        <f>INDEX(Q1_Adult,10,12)</f>
        <v>0</v>
      </c>
      <c r="O14" s="200">
        <f t="shared" si="3"/>
        <v>0</v>
      </c>
      <c r="P14" s="202">
        <f>INDEX(Q1_Adult,10,13)</f>
        <v>0</v>
      </c>
      <c r="Q14" s="199">
        <f>INDEX(Q1_Adult,10,15)</f>
        <v>19</v>
      </c>
      <c r="R14" s="200">
        <f t="shared" si="4"/>
        <v>0.12258064516129032</v>
      </c>
      <c r="S14" s="201">
        <f>INDEX(Q1_Adult,10,16)</f>
        <v>30</v>
      </c>
      <c r="T14" s="200">
        <f t="shared" si="5"/>
        <v>0.19354838709677419</v>
      </c>
      <c r="U14" s="423">
        <f>INDEX(Q1_Adult,10,17)</f>
        <v>53</v>
      </c>
      <c r="V14" s="200">
        <f t="shared" si="6"/>
        <v>0.34193548387096773</v>
      </c>
      <c r="W14" s="201">
        <f>INDEX(Q1_Adult,10,18)</f>
        <v>53</v>
      </c>
      <c r="X14" s="200">
        <f t="shared" si="7"/>
        <v>0.34193548387096773</v>
      </c>
      <c r="Y14" s="113">
        <f>INDEX(Q1_Adult,10,19)</f>
        <v>155</v>
      </c>
      <c r="Z14" s="66">
        <f>INDEX(Q1_Adult,10,21)</f>
        <v>0</v>
      </c>
      <c r="AA14" s="67">
        <f>INDEX(Q1_Adult,10,22)</f>
        <v>7.4999999999999997E-2</v>
      </c>
      <c r="AB14" s="420"/>
    </row>
    <row r="15" spans="1:28" s="8" customFormat="1" ht="21.75" customHeight="1" thickTop="1" thickBot="1" x14ac:dyDescent="0.35">
      <c r="A15" s="420"/>
      <c r="B15" s="424" t="str">
        <f>INDEX(Q1_Adult,11,2)</f>
        <v>Hywel Dda UHB, Withybush Hospital</v>
      </c>
      <c r="C15" s="424" t="s">
        <v>20</v>
      </c>
      <c r="D15" s="425">
        <v>3</v>
      </c>
      <c r="E15" s="424" t="s">
        <v>22</v>
      </c>
      <c r="F15" s="65">
        <f>INDEX(Q1_Adult,11,7)</f>
        <v>0</v>
      </c>
      <c r="G15" s="71">
        <f>INDEX(Q1_Adult,11,8)</f>
        <v>0</v>
      </c>
      <c r="H15" s="204">
        <f>INDEX(Q1_Adult,11,9)</f>
        <v>0</v>
      </c>
      <c r="I15" s="205">
        <f t="shared" si="0"/>
        <v>0</v>
      </c>
      <c r="J15" s="206">
        <f>INDEX(Q1_Adult,11,10)</f>
        <v>0</v>
      </c>
      <c r="K15" s="205">
        <f t="shared" si="1"/>
        <v>0</v>
      </c>
      <c r="L15" s="206">
        <f>INDEX(Q1_Adult,11,11)</f>
        <v>0</v>
      </c>
      <c r="M15" s="205">
        <f t="shared" si="2"/>
        <v>0</v>
      </c>
      <c r="N15" s="206">
        <f>INDEX(Q1_Adult,11,12)</f>
        <v>0</v>
      </c>
      <c r="O15" s="205">
        <f t="shared" si="3"/>
        <v>0</v>
      </c>
      <c r="P15" s="207">
        <f>INDEX(Q1_Adult,11,13)</f>
        <v>0</v>
      </c>
      <c r="Q15" s="208">
        <f>INDEX(Q1_Adult,11,15)</f>
        <v>4</v>
      </c>
      <c r="R15" s="205">
        <f t="shared" si="4"/>
        <v>0.5</v>
      </c>
      <c r="S15" s="206">
        <f>INDEX(Q1_Adult,11,16)</f>
        <v>0</v>
      </c>
      <c r="T15" s="205">
        <f t="shared" si="5"/>
        <v>0</v>
      </c>
      <c r="U15" s="426">
        <f>INDEX(Q1_Adult,11,17)</f>
        <v>3</v>
      </c>
      <c r="V15" s="205">
        <f t="shared" si="6"/>
        <v>0.375</v>
      </c>
      <c r="W15" s="206">
        <f>INDEX(Q1_Adult,11,18)</f>
        <v>1</v>
      </c>
      <c r="X15" s="205">
        <f t="shared" si="7"/>
        <v>0.125</v>
      </c>
      <c r="Y15" s="114">
        <f>INDEX(Q1_Adult,11,19)</f>
        <v>8</v>
      </c>
      <c r="Z15" s="68">
        <f>INDEX(Q1_Adult,11,21)</f>
        <v>0</v>
      </c>
      <c r="AA15" s="69">
        <f>INDEX(Q1_Adult,11,22)</f>
        <v>0</v>
      </c>
      <c r="AB15" s="420"/>
    </row>
    <row r="16" spans="1:28" s="8" customFormat="1" ht="21.75" customHeight="1" thickTop="1" thickBot="1" x14ac:dyDescent="0.35">
      <c r="A16" s="420"/>
      <c r="B16" s="421" t="str">
        <f>INDEX(Q1_Adult,12,2)</f>
        <v>Swansea Bay UHB, Morriston / Singleton Hospitals</v>
      </c>
      <c r="C16" s="421" t="s">
        <v>20</v>
      </c>
      <c r="D16" s="422">
        <v>3</v>
      </c>
      <c r="E16" s="421" t="s">
        <v>22</v>
      </c>
      <c r="F16" s="64">
        <f>INDEX(Q1_Adult,12,7)</f>
        <v>93</v>
      </c>
      <c r="G16" s="70">
        <f>INDEX(Q1_Adult,12,8)</f>
        <v>0</v>
      </c>
      <c r="H16" s="210">
        <f>INDEX(Q1_Adult,12,9)</f>
        <v>20</v>
      </c>
      <c r="I16" s="200">
        <f t="shared" si="0"/>
        <v>0.13793103448275862</v>
      </c>
      <c r="J16" s="201">
        <f>INDEX(Q1_Adult,12,10)</f>
        <v>33</v>
      </c>
      <c r="K16" s="200">
        <f t="shared" si="1"/>
        <v>0.22758620689655173</v>
      </c>
      <c r="L16" s="201">
        <f>INDEX(Q1_Adult,12,11)</f>
        <v>31</v>
      </c>
      <c r="M16" s="200">
        <f t="shared" si="2"/>
        <v>0.21379310344827587</v>
      </c>
      <c r="N16" s="201">
        <f>INDEX(Q1_Adult,12,12)</f>
        <v>61</v>
      </c>
      <c r="O16" s="200">
        <f t="shared" si="3"/>
        <v>0.4206896551724138</v>
      </c>
      <c r="P16" s="202">
        <f>INDEX(Q1_Adult,12,13)</f>
        <v>145</v>
      </c>
      <c r="Q16" s="199">
        <f>INDEX(Q1_Adult,12,15)</f>
        <v>0</v>
      </c>
      <c r="R16" s="200">
        <f t="shared" si="4"/>
        <v>0</v>
      </c>
      <c r="S16" s="201">
        <f>INDEX(Q1_Adult,12,16)</f>
        <v>0</v>
      </c>
      <c r="T16" s="200">
        <f t="shared" si="5"/>
        <v>0</v>
      </c>
      <c r="U16" s="423">
        <f>INDEX(Q1_Adult,12,17)</f>
        <v>0</v>
      </c>
      <c r="V16" s="200">
        <f t="shared" si="6"/>
        <v>0</v>
      </c>
      <c r="W16" s="201">
        <f>INDEX(Q1_Adult,12,18)</f>
        <v>0</v>
      </c>
      <c r="X16" s="200">
        <f t="shared" si="7"/>
        <v>0</v>
      </c>
      <c r="Y16" s="113">
        <f>INDEX(Q1_Adult,12,19)</f>
        <v>0</v>
      </c>
      <c r="Z16" s="66">
        <f>INDEX(Q1_Adult,12,21)</f>
        <v>0</v>
      </c>
      <c r="AA16" s="67">
        <f>INDEX(Q1_Adult,12,22)</f>
        <v>0</v>
      </c>
      <c r="AB16" s="420"/>
    </row>
    <row r="17" spans="1:28" s="8" customFormat="1" ht="21.75" customHeight="1" thickTop="1" thickBot="1" x14ac:dyDescent="0.35">
      <c r="A17" s="420"/>
      <c r="B17" s="424" t="str">
        <f>INDEX(Q1_Adult,13,2)</f>
        <v xml:space="preserve">Barnstaple, North Devon District Hospital </v>
      </c>
      <c r="C17" s="424" t="s">
        <v>20</v>
      </c>
      <c r="D17" s="425">
        <v>3</v>
      </c>
      <c r="E17" s="424" t="s">
        <v>21</v>
      </c>
      <c r="F17" s="65">
        <f>INDEX(Q1_Adult,13,7)</f>
        <v>27</v>
      </c>
      <c r="G17" s="71">
        <f>INDEX(Q1_Adult,13,8)</f>
        <v>27</v>
      </c>
      <c r="H17" s="204">
        <f>INDEX(Q1_Adult,13,9)</f>
        <v>18</v>
      </c>
      <c r="I17" s="205">
        <f t="shared" si="0"/>
        <v>0.22784810126582278</v>
      </c>
      <c r="J17" s="206">
        <f>INDEX(Q1_Adult,13,10)</f>
        <v>23</v>
      </c>
      <c r="K17" s="205">
        <f t="shared" si="1"/>
        <v>0.29113924050632911</v>
      </c>
      <c r="L17" s="206">
        <f>INDEX(Q1_Adult,13,11)</f>
        <v>24</v>
      </c>
      <c r="M17" s="205">
        <f t="shared" si="2"/>
        <v>0.30379746835443039</v>
      </c>
      <c r="N17" s="206">
        <f>INDEX(Q1_Adult,13,12)</f>
        <v>14</v>
      </c>
      <c r="O17" s="205">
        <f t="shared" si="3"/>
        <v>0.17721518987341772</v>
      </c>
      <c r="P17" s="207">
        <f>INDEX(Q1_Adult,13,13)</f>
        <v>79</v>
      </c>
      <c r="Q17" s="208">
        <f>INDEX(Q1_Adult,13,15)</f>
        <v>18</v>
      </c>
      <c r="R17" s="205">
        <f t="shared" si="4"/>
        <v>0.22784810126582278</v>
      </c>
      <c r="S17" s="206">
        <f>INDEX(Q1_Adult,13,16)</f>
        <v>23</v>
      </c>
      <c r="T17" s="205">
        <f t="shared" si="5"/>
        <v>0.29113924050632911</v>
      </c>
      <c r="U17" s="426">
        <f>INDEX(Q1_Adult,13,17)</f>
        <v>24</v>
      </c>
      <c r="V17" s="205">
        <f t="shared" si="6"/>
        <v>0.30379746835443039</v>
      </c>
      <c r="W17" s="206">
        <f>INDEX(Q1_Adult,13,18)</f>
        <v>14</v>
      </c>
      <c r="X17" s="205">
        <f t="shared" si="7"/>
        <v>0.17721518987341772</v>
      </c>
      <c r="Y17" s="114">
        <f>INDEX(Q1_Adult,13,19)</f>
        <v>79</v>
      </c>
      <c r="Z17" s="68">
        <f>INDEX(Q1_Adult,13,21)</f>
        <v>0.14000000000000001</v>
      </c>
      <c r="AA17" s="69">
        <f>INDEX(Q1_Adult,13,22)</f>
        <v>0.14000000000000001</v>
      </c>
      <c r="AB17" s="420"/>
    </row>
    <row r="18" spans="1:28" s="8" customFormat="1" ht="21.75" customHeight="1" thickTop="1" thickBot="1" x14ac:dyDescent="0.35">
      <c r="A18" s="420"/>
      <c r="B18" s="421" t="str">
        <f>INDEX(Q1_Adult,15,2)</f>
        <v xml:space="preserve">Exeter, Royal Devon and Exeter Hospital </v>
      </c>
      <c r="C18" s="421" t="s">
        <v>20</v>
      </c>
      <c r="D18" s="422">
        <v>3</v>
      </c>
      <c r="E18" s="421" t="s">
        <v>21</v>
      </c>
      <c r="F18" s="64" t="str">
        <f>INDEX(Q1_Adult,15,7)</f>
        <v>No data</v>
      </c>
      <c r="G18" s="70" t="str">
        <f>INDEX(Q1_Adult,15,8)</f>
        <v>No data</v>
      </c>
      <c r="H18" s="210" t="str">
        <f>INDEX(Q1_Adult,15,9)</f>
        <v>No data</v>
      </c>
      <c r="I18" s="200">
        <f t="shared" si="0"/>
        <v>0</v>
      </c>
      <c r="J18" s="201" t="str">
        <f>INDEX(Q1_Adult,15,10)</f>
        <v>No data</v>
      </c>
      <c r="K18" s="200">
        <f t="shared" si="1"/>
        <v>0</v>
      </c>
      <c r="L18" s="201" t="str">
        <f>INDEX(Q1_Adult,15,11)</f>
        <v>No data</v>
      </c>
      <c r="M18" s="200">
        <f t="shared" si="2"/>
        <v>0</v>
      </c>
      <c r="N18" s="201" t="str">
        <f>INDEX(Q1_Adult,15,12)</f>
        <v>No data</v>
      </c>
      <c r="O18" s="200">
        <f t="shared" si="3"/>
        <v>0</v>
      </c>
      <c r="P18" s="202" t="str">
        <f>INDEX(Q1_Adult,15,13)</f>
        <v>No data</v>
      </c>
      <c r="Q18" s="199" t="str">
        <f>INDEX(Q1_Adult,15,15)</f>
        <v>No data</v>
      </c>
      <c r="R18" s="200">
        <f t="shared" si="4"/>
        <v>0</v>
      </c>
      <c r="S18" s="201" t="str">
        <f>INDEX(Q1_Adult,15,16)</f>
        <v>No data</v>
      </c>
      <c r="T18" s="200">
        <f t="shared" si="5"/>
        <v>0</v>
      </c>
      <c r="U18" s="423" t="str">
        <f>INDEX(Q1_Adult,15,17)</f>
        <v>No data</v>
      </c>
      <c r="V18" s="200">
        <f t="shared" si="6"/>
        <v>0</v>
      </c>
      <c r="W18" s="201" t="str">
        <f>INDEX(Q1_Adult,15,18)</f>
        <v>No data</v>
      </c>
      <c r="X18" s="200">
        <f t="shared" si="7"/>
        <v>0</v>
      </c>
      <c r="Y18" s="113" t="str">
        <f>INDEX(Q1_Adult,15,19)</f>
        <v>No data</v>
      </c>
      <c r="Z18" s="66" t="str">
        <f>INDEX(Q1_Adult,15,21)</f>
        <v>No data</v>
      </c>
      <c r="AA18" s="67" t="str">
        <f>INDEX(Q1_Adult,15,22)</f>
        <v>No data</v>
      </c>
      <c r="AB18" s="420"/>
    </row>
    <row r="19" spans="1:28" s="8" customFormat="1" ht="21.75" customHeight="1" thickTop="1" thickBot="1" x14ac:dyDescent="0.35">
      <c r="A19" s="420"/>
      <c r="B19" s="424" t="str">
        <f>INDEX(Q1_Adult,16,2)</f>
        <v>Gloucester, Gloucestershire Hospitals</v>
      </c>
      <c r="C19" s="424" t="s">
        <v>20</v>
      </c>
      <c r="D19" s="425">
        <v>3</v>
      </c>
      <c r="E19" s="424" t="s">
        <v>21</v>
      </c>
      <c r="F19" s="65">
        <f>INDEX(Q1_Adult,16,7)</f>
        <v>13</v>
      </c>
      <c r="G19" s="71">
        <f>INDEX(Q1_Adult,16,8)</f>
        <v>13</v>
      </c>
      <c r="H19" s="204">
        <f>INDEX(Q1_Adult,16,9)</f>
        <v>15</v>
      </c>
      <c r="I19" s="205">
        <f t="shared" si="0"/>
        <v>0.20270270270270271</v>
      </c>
      <c r="J19" s="206">
        <f>INDEX(Q1_Adult,16,10)</f>
        <v>4</v>
      </c>
      <c r="K19" s="205">
        <f t="shared" si="1"/>
        <v>5.4054054054054057E-2</v>
      </c>
      <c r="L19" s="206">
        <f>INDEX(Q1_Adult,16,11)</f>
        <v>31</v>
      </c>
      <c r="M19" s="205">
        <f t="shared" si="2"/>
        <v>0.41891891891891891</v>
      </c>
      <c r="N19" s="206">
        <f>INDEX(Q1_Adult,16,12)</f>
        <v>24</v>
      </c>
      <c r="O19" s="205">
        <f t="shared" si="3"/>
        <v>0.32432432432432434</v>
      </c>
      <c r="P19" s="207">
        <f>INDEX(Q1_Adult,16,13)</f>
        <v>74</v>
      </c>
      <c r="Q19" s="208">
        <f>INDEX(Q1_Adult,16,15)</f>
        <v>15</v>
      </c>
      <c r="R19" s="205">
        <f t="shared" si="4"/>
        <v>0.20270270270270271</v>
      </c>
      <c r="S19" s="206">
        <f>INDEX(Q1_Adult,16,16)</f>
        <v>4</v>
      </c>
      <c r="T19" s="205">
        <f t="shared" si="5"/>
        <v>5.4054054054054057E-2</v>
      </c>
      <c r="U19" s="426">
        <f>INDEX(Q1_Adult,16,17)</f>
        <v>31</v>
      </c>
      <c r="V19" s="205">
        <f t="shared" si="6"/>
        <v>0.41891891891891891</v>
      </c>
      <c r="W19" s="206">
        <f>INDEX(Q1_Adult,16,18)</f>
        <v>24</v>
      </c>
      <c r="X19" s="205">
        <f t="shared" si="7"/>
        <v>0.32432432432432434</v>
      </c>
      <c r="Y19" s="114">
        <f>INDEX(Q1_Adult,16,19)</f>
        <v>74</v>
      </c>
      <c r="Z19" s="68">
        <f>INDEX(Q1_Adult,16,21)</f>
        <v>0.148148148148148</v>
      </c>
      <c r="AA19" s="69">
        <f>INDEX(Q1_Adult,16,22)</f>
        <v>0.148148148148148</v>
      </c>
      <c r="AB19" s="420"/>
    </row>
    <row r="20" spans="1:28" s="8" customFormat="1" ht="21.75" customHeight="1" thickTop="1" thickBot="1" x14ac:dyDescent="0.35">
      <c r="A20" s="420"/>
      <c r="B20" s="421" t="str">
        <f>INDEX(Q1_Adult,17,2)</f>
        <v xml:space="preserve">Plymouth, Derriford Hospital </v>
      </c>
      <c r="C20" s="421" t="s">
        <v>20</v>
      </c>
      <c r="D20" s="422">
        <v>3</v>
      </c>
      <c r="E20" s="421" t="s">
        <v>21</v>
      </c>
      <c r="F20" s="64" t="str">
        <f>INDEX(Q1_Adult,17,7)</f>
        <v>No data</v>
      </c>
      <c r="G20" s="70" t="str">
        <f>INDEX(Q1_Adult,17,8)</f>
        <v>No data</v>
      </c>
      <c r="H20" s="210" t="str">
        <f>INDEX(Q1_Adult,17,9)</f>
        <v>No data</v>
      </c>
      <c r="I20" s="200">
        <f t="shared" si="0"/>
        <v>0</v>
      </c>
      <c r="J20" s="201" t="str">
        <f>INDEX(Q1_Adult,17,10)</f>
        <v>No data</v>
      </c>
      <c r="K20" s="200">
        <f t="shared" si="1"/>
        <v>0</v>
      </c>
      <c r="L20" s="201" t="str">
        <f>INDEX(Q1_Adult,17,11)</f>
        <v>No data</v>
      </c>
      <c r="M20" s="200">
        <f t="shared" si="2"/>
        <v>0</v>
      </c>
      <c r="N20" s="201" t="str">
        <f>INDEX(Q1_Adult,17,12)</f>
        <v>No data</v>
      </c>
      <c r="O20" s="200">
        <f t="shared" si="3"/>
        <v>0</v>
      </c>
      <c r="P20" s="202" t="str">
        <f>INDEX(Q1_Adult,17,13)</f>
        <v>No data</v>
      </c>
      <c r="Q20" s="199" t="str">
        <f>INDEX(Q1_Adult,17,15)</f>
        <v>No data</v>
      </c>
      <c r="R20" s="200">
        <f t="shared" si="4"/>
        <v>0</v>
      </c>
      <c r="S20" s="201" t="str">
        <f>INDEX(Q1_Adult,17,16)</f>
        <v>No data</v>
      </c>
      <c r="T20" s="200">
        <f t="shared" si="5"/>
        <v>0</v>
      </c>
      <c r="U20" s="423" t="str">
        <f>INDEX(Q1_Adult,17,17)</f>
        <v>No data</v>
      </c>
      <c r="V20" s="200">
        <f t="shared" si="6"/>
        <v>0</v>
      </c>
      <c r="W20" s="201" t="str">
        <f>INDEX(Q1_Adult,17,18)</f>
        <v>No data</v>
      </c>
      <c r="X20" s="200">
        <f t="shared" si="7"/>
        <v>0</v>
      </c>
      <c r="Y20" s="113" t="str">
        <f>INDEX(Q1_Adult,17,19)</f>
        <v>No data</v>
      </c>
      <c r="Z20" s="66" t="str">
        <f>INDEX(Q1_Adult,17,21)</f>
        <v>No data</v>
      </c>
      <c r="AA20" s="67" t="str">
        <f>INDEX(Q1_Adult,17,22)</f>
        <v>No data</v>
      </c>
      <c r="AB20" s="420"/>
    </row>
    <row r="21" spans="1:28" s="8" customFormat="1" ht="21.75" customHeight="1" thickTop="1" thickBot="1" x14ac:dyDescent="0.35">
      <c r="A21" s="420"/>
      <c r="B21" s="424" t="str">
        <f>INDEX(Q1_Adult,18,2)</f>
        <v xml:space="preserve">Swindon, Great Weston Hospital </v>
      </c>
      <c r="C21" s="424" t="s">
        <v>20</v>
      </c>
      <c r="D21" s="425">
        <v>3</v>
      </c>
      <c r="E21" s="424" t="s">
        <v>21</v>
      </c>
      <c r="F21" s="65" t="str">
        <f>INDEX(Q1_Adult,18,7)</f>
        <v>No data</v>
      </c>
      <c r="G21" s="71" t="str">
        <f>INDEX(Q1_Adult,18,8)</f>
        <v>No data</v>
      </c>
      <c r="H21" s="204" t="str">
        <f>INDEX(Q1_Adult,18,9)</f>
        <v>No data</v>
      </c>
      <c r="I21" s="205">
        <f t="shared" si="0"/>
        <v>0</v>
      </c>
      <c r="J21" s="206" t="str">
        <f>INDEX(Q1_Adult,18,10)</f>
        <v>No data</v>
      </c>
      <c r="K21" s="205">
        <f t="shared" si="1"/>
        <v>0</v>
      </c>
      <c r="L21" s="206" t="str">
        <f>INDEX(Q1_Adult,18,11)</f>
        <v>No data</v>
      </c>
      <c r="M21" s="205">
        <f t="shared" si="2"/>
        <v>0</v>
      </c>
      <c r="N21" s="206" t="str">
        <f>INDEX(Q1_Adult,18,12)</f>
        <v>No data</v>
      </c>
      <c r="O21" s="205">
        <f t="shared" si="3"/>
        <v>0</v>
      </c>
      <c r="P21" s="207" t="str">
        <f>INDEX(Q1_Adult,18,13)</f>
        <v>No data</v>
      </c>
      <c r="Q21" s="208" t="str">
        <f>INDEX(Q1_Adult,18,15)</f>
        <v>No data</v>
      </c>
      <c r="R21" s="205">
        <f t="shared" si="4"/>
        <v>0</v>
      </c>
      <c r="S21" s="206" t="str">
        <f>INDEX(Q1_Adult,18,16)</f>
        <v>No data</v>
      </c>
      <c r="T21" s="205">
        <f t="shared" si="5"/>
        <v>0</v>
      </c>
      <c r="U21" s="426" t="str">
        <f>INDEX(Q1_Adult,18,17)</f>
        <v>No data</v>
      </c>
      <c r="V21" s="205">
        <f t="shared" si="6"/>
        <v>0</v>
      </c>
      <c r="W21" s="206" t="str">
        <f>INDEX(Q1_Adult,18,18)</f>
        <v>No data</v>
      </c>
      <c r="X21" s="205">
        <f t="shared" si="7"/>
        <v>0</v>
      </c>
      <c r="Y21" s="114" t="str">
        <f>INDEX(Q1_Adult,18,19)</f>
        <v>No data</v>
      </c>
      <c r="Z21" s="68" t="str">
        <f>INDEX(Q1_Adult,18,21)</f>
        <v>No data</v>
      </c>
      <c r="AA21" s="69" t="str">
        <f>INDEX(Q1_Adult,18,22)</f>
        <v>No data</v>
      </c>
      <c r="AB21" s="420"/>
    </row>
    <row r="22" spans="1:28" s="8" customFormat="1" ht="21.75" customHeight="1" thickTop="1" thickBot="1" x14ac:dyDescent="0.35">
      <c r="A22" s="420"/>
      <c r="B22" s="421" t="str">
        <f>INDEX(Q1_Adult,19,2)</f>
        <v xml:space="preserve">Taunton, Musgrove Park Hospital </v>
      </c>
      <c r="C22" s="421" t="s">
        <v>20</v>
      </c>
      <c r="D22" s="422">
        <v>3</v>
      </c>
      <c r="E22" s="421" t="s">
        <v>21</v>
      </c>
      <c r="F22" s="64">
        <f>INDEX(Q1_Adult,19,7)</f>
        <v>4</v>
      </c>
      <c r="G22" s="70">
        <f>INDEX(Q1_Adult,19,8)</f>
        <v>12</v>
      </c>
      <c r="H22" s="210">
        <f>INDEX(Q1_Adult,19,9)</f>
        <v>1</v>
      </c>
      <c r="I22" s="200">
        <f t="shared" si="0"/>
        <v>1</v>
      </c>
      <c r="J22" s="201">
        <f>INDEX(Q1_Adult,19,10)</f>
        <v>0</v>
      </c>
      <c r="K22" s="200">
        <f t="shared" si="1"/>
        <v>0</v>
      </c>
      <c r="L22" s="201">
        <f>INDEX(Q1_Adult,19,11)</f>
        <v>0</v>
      </c>
      <c r="M22" s="200">
        <f t="shared" si="2"/>
        <v>0</v>
      </c>
      <c r="N22" s="201">
        <f>INDEX(Q1_Adult,19,12)</f>
        <v>0</v>
      </c>
      <c r="O22" s="200">
        <f t="shared" si="3"/>
        <v>0</v>
      </c>
      <c r="P22" s="202">
        <f>INDEX(Q1_Adult,19,13)</f>
        <v>1</v>
      </c>
      <c r="Q22" s="199">
        <f>INDEX(Q1_Adult,19,15)</f>
        <v>15</v>
      </c>
      <c r="R22" s="200">
        <f t="shared" si="4"/>
        <v>0.5357142857142857</v>
      </c>
      <c r="S22" s="201">
        <f>INDEX(Q1_Adult,19,16)</f>
        <v>13</v>
      </c>
      <c r="T22" s="200">
        <f t="shared" si="5"/>
        <v>0.4642857142857143</v>
      </c>
      <c r="U22" s="423">
        <f>INDEX(Q1_Adult,19,17)</f>
        <v>0</v>
      </c>
      <c r="V22" s="200">
        <f t="shared" si="6"/>
        <v>0</v>
      </c>
      <c r="W22" s="201">
        <f>INDEX(Q1_Adult,19,18)</f>
        <v>0</v>
      </c>
      <c r="X22" s="200">
        <f t="shared" si="7"/>
        <v>0</v>
      </c>
      <c r="Y22" s="113">
        <f>INDEX(Q1_Adult,19,19)</f>
        <v>28</v>
      </c>
      <c r="Z22" s="66">
        <f>INDEX(Q1_Adult,19,21)</f>
        <v>0.15</v>
      </c>
      <c r="AA22" s="67">
        <f>INDEX(Q1_Adult,19,22)</f>
        <v>0.2</v>
      </c>
      <c r="AB22" s="420"/>
    </row>
    <row r="23" spans="1:28" s="8" customFormat="1" ht="21.75" customHeight="1" thickTop="1" thickBot="1" x14ac:dyDescent="0.35">
      <c r="A23" s="420"/>
      <c r="B23" s="424" t="str">
        <f>INDEX(Q1_Adult,20,2)</f>
        <v xml:space="preserve">Torquay, Torbay General District Hospital </v>
      </c>
      <c r="C23" s="424" t="s">
        <v>20</v>
      </c>
      <c r="D23" s="425">
        <v>3</v>
      </c>
      <c r="E23" s="424" t="s">
        <v>21</v>
      </c>
      <c r="F23" s="65">
        <f>INDEX(Q1_Adult,20,7)</f>
        <v>0</v>
      </c>
      <c r="G23" s="71">
        <f>INDEX(Q1_Adult,20,8)</f>
        <v>0</v>
      </c>
      <c r="H23" s="204">
        <f>INDEX(Q1_Adult,20,9)</f>
        <v>11</v>
      </c>
      <c r="I23" s="205">
        <f t="shared" si="0"/>
        <v>0.7857142857142857</v>
      </c>
      <c r="J23" s="206">
        <f>INDEX(Q1_Adult,20,10)</f>
        <v>3</v>
      </c>
      <c r="K23" s="205">
        <f t="shared" si="1"/>
        <v>0.21428571428571427</v>
      </c>
      <c r="L23" s="206">
        <f>INDEX(Q1_Adult,20,11)</f>
        <v>0</v>
      </c>
      <c r="M23" s="205">
        <f t="shared" si="2"/>
        <v>0</v>
      </c>
      <c r="N23" s="206">
        <f>INDEX(Q1_Adult,20,12)</f>
        <v>0</v>
      </c>
      <c r="O23" s="205">
        <f t="shared" si="3"/>
        <v>0</v>
      </c>
      <c r="P23" s="207">
        <f>INDEX(Q1_Adult,20,13)</f>
        <v>14</v>
      </c>
      <c r="Q23" s="208">
        <f>INDEX(Q1_Adult,20,15)</f>
        <v>6</v>
      </c>
      <c r="R23" s="205">
        <f t="shared" si="4"/>
        <v>0.31578947368421051</v>
      </c>
      <c r="S23" s="206">
        <f>INDEX(Q1_Adult,20,16)</f>
        <v>6</v>
      </c>
      <c r="T23" s="205">
        <f t="shared" si="5"/>
        <v>0.31578947368421051</v>
      </c>
      <c r="U23" s="426">
        <f>INDEX(Q1_Adult,20,17)</f>
        <v>7</v>
      </c>
      <c r="V23" s="205">
        <f t="shared" si="6"/>
        <v>0.36842105263157893</v>
      </c>
      <c r="W23" s="206">
        <f>INDEX(Q1_Adult,20,18)</f>
        <v>0</v>
      </c>
      <c r="X23" s="205">
        <f t="shared" si="7"/>
        <v>0</v>
      </c>
      <c r="Y23" s="114">
        <f>INDEX(Q1_Adult,20,19)</f>
        <v>19</v>
      </c>
      <c r="Z23" s="68">
        <f>INDEX(Q1_Adult,20,21)</f>
        <v>2.5000000000000001E-3</v>
      </c>
      <c r="AA23" s="69">
        <f>INDEX(Q1_Adult,20,22)</f>
        <v>0</v>
      </c>
      <c r="AB23" s="420"/>
    </row>
    <row r="24" spans="1:28" s="8" customFormat="1" ht="21.75" customHeight="1" thickTop="1" thickBot="1" x14ac:dyDescent="0.35">
      <c r="A24" s="420"/>
      <c r="B24" s="421" t="str">
        <f>INDEX(Q1_Adult,21,2)</f>
        <v xml:space="preserve">Truro, Royal Cornwall Hospital </v>
      </c>
      <c r="C24" s="421" t="s">
        <v>20</v>
      </c>
      <c r="D24" s="422">
        <v>3</v>
      </c>
      <c r="E24" s="421" t="s">
        <v>21</v>
      </c>
      <c r="F24" s="64" t="str">
        <f>INDEX(Q1_Adult,21,7)</f>
        <v>No data</v>
      </c>
      <c r="G24" s="70" t="str">
        <f>INDEX(Q1_Adult,21,8)</f>
        <v>No data</v>
      </c>
      <c r="H24" s="210" t="str">
        <f>INDEX(Q1_Adult,21,9)</f>
        <v>No data</v>
      </c>
      <c r="I24" s="200">
        <f t="shared" si="0"/>
        <v>0</v>
      </c>
      <c r="J24" s="201" t="str">
        <f>INDEX(Q1_Adult,21,10)</f>
        <v>No data</v>
      </c>
      <c r="K24" s="200">
        <f t="shared" si="1"/>
        <v>0</v>
      </c>
      <c r="L24" s="201" t="str">
        <f>INDEX(Q1_Adult,21,11)</f>
        <v>No data</v>
      </c>
      <c r="M24" s="200">
        <f t="shared" si="2"/>
        <v>0</v>
      </c>
      <c r="N24" s="201" t="str">
        <f>INDEX(Q1_Adult,21,12)</f>
        <v>No data</v>
      </c>
      <c r="O24" s="200">
        <f t="shared" si="3"/>
        <v>0</v>
      </c>
      <c r="P24" s="202" t="str">
        <f>INDEX(Q1_Adult,21,13)</f>
        <v>No data</v>
      </c>
      <c r="Q24" s="199" t="str">
        <f>INDEX(Q1_Adult,21,15)</f>
        <v>No data</v>
      </c>
      <c r="R24" s="200">
        <f t="shared" si="4"/>
        <v>0</v>
      </c>
      <c r="S24" s="201" t="str">
        <f>INDEX(Q1_Adult,21,16)</f>
        <v>No data</v>
      </c>
      <c r="T24" s="200">
        <f t="shared" si="5"/>
        <v>0</v>
      </c>
      <c r="U24" s="423" t="str">
        <f>INDEX(Q1_Adult,21,17)</f>
        <v>No data</v>
      </c>
      <c r="V24" s="200">
        <f t="shared" si="6"/>
        <v>0</v>
      </c>
      <c r="W24" s="201" t="str">
        <f>INDEX(Q1_Adult,21,18)</f>
        <v>No data</v>
      </c>
      <c r="X24" s="200">
        <f t="shared" si="7"/>
        <v>0</v>
      </c>
      <c r="Y24" s="113" t="str">
        <f>INDEX(Q1_Adult,21,19)</f>
        <v>No data</v>
      </c>
      <c r="Z24" s="66" t="str">
        <f>INDEX(Q1_Adult,21,21)</f>
        <v>No data</v>
      </c>
      <c r="AA24" s="67" t="str">
        <f>INDEX(Q1_Adult,21,22)</f>
        <v>No data</v>
      </c>
      <c r="AB24" s="420"/>
    </row>
    <row r="25" spans="1:28" ht="15" thickTop="1" x14ac:dyDescent="0.3">
      <c r="B25" s="16"/>
      <c r="C25" s="16"/>
      <c r="D25" s="16"/>
      <c r="E25" s="16"/>
      <c r="F25" s="15"/>
      <c r="G25" s="15"/>
      <c r="H25" s="119"/>
      <c r="I25" s="15"/>
      <c r="J25" s="119"/>
      <c r="K25" s="15"/>
      <c r="L25" s="119"/>
      <c r="M25" s="15"/>
      <c r="N25" s="119"/>
      <c r="O25" s="15"/>
      <c r="P25" s="15"/>
      <c r="Q25" s="119"/>
      <c r="R25" s="15"/>
      <c r="S25" s="119"/>
      <c r="T25" s="15"/>
      <c r="U25" s="119"/>
      <c r="V25" s="15"/>
      <c r="W25" s="119"/>
      <c r="X25" s="15"/>
      <c r="Y25" s="15"/>
      <c r="Z25" s="15"/>
      <c r="AA25" s="15"/>
    </row>
    <row r="26" spans="1:28" ht="15" thickBot="1" x14ac:dyDescent="0.35">
      <c r="B26" s="16"/>
      <c r="C26" s="16"/>
      <c r="D26" s="16"/>
      <c r="E26" s="16"/>
      <c r="F26" s="15"/>
      <c r="G26" s="15"/>
      <c r="H26" s="119"/>
      <c r="I26" s="15"/>
      <c r="J26" s="119"/>
      <c r="K26" s="15"/>
      <c r="L26" s="119"/>
      <c r="M26" s="15"/>
      <c r="N26" s="119"/>
      <c r="O26" s="15"/>
      <c r="P26" s="15"/>
      <c r="Q26" s="119"/>
      <c r="R26" s="15"/>
      <c r="S26" s="119"/>
      <c r="T26" s="15"/>
      <c r="U26" s="119"/>
      <c r="V26" s="15"/>
      <c r="W26" s="119"/>
      <c r="X26" s="15"/>
      <c r="Y26" s="15"/>
      <c r="Z26" s="15"/>
      <c r="AA26" s="15"/>
    </row>
    <row r="27" spans="1:28" ht="14.4" x14ac:dyDescent="0.3">
      <c r="B27" s="299" t="s">
        <v>86</v>
      </c>
      <c r="C27" s="428" t="s">
        <v>87</v>
      </c>
      <c r="D27" s="429"/>
      <c r="E27" s="430"/>
      <c r="F27" s="309" t="s">
        <v>78</v>
      </c>
      <c r="G27" s="310"/>
      <c r="H27" s="311"/>
      <c r="I27" s="312"/>
      <c r="J27" s="315" t="s">
        <v>84</v>
      </c>
      <c r="K27" s="316"/>
      <c r="L27" s="319" t="s">
        <v>84</v>
      </c>
      <c r="M27" s="320"/>
      <c r="N27" s="323" t="s">
        <v>84</v>
      </c>
      <c r="O27" s="324"/>
      <c r="P27" s="277"/>
      <c r="Q27" s="311"/>
      <c r="R27" s="312"/>
      <c r="S27" s="315" t="s">
        <v>84</v>
      </c>
      <c r="T27" s="316"/>
      <c r="U27" s="319" t="s">
        <v>84</v>
      </c>
      <c r="V27" s="320"/>
      <c r="W27" s="323" t="s">
        <v>84</v>
      </c>
      <c r="X27" s="324"/>
      <c r="Y27" s="128"/>
      <c r="Z27" s="335" t="s">
        <v>81</v>
      </c>
      <c r="AA27" s="310"/>
    </row>
    <row r="28" spans="1:28" ht="14.4" x14ac:dyDescent="0.3">
      <c r="B28" s="299"/>
      <c r="C28" s="431"/>
      <c r="D28" s="432"/>
      <c r="E28" s="433"/>
      <c r="F28" s="434" t="s">
        <v>79</v>
      </c>
      <c r="G28" s="435"/>
      <c r="H28" s="313"/>
      <c r="I28" s="314"/>
      <c r="J28" s="317"/>
      <c r="K28" s="318"/>
      <c r="L28" s="321"/>
      <c r="M28" s="322"/>
      <c r="N28" s="325"/>
      <c r="O28" s="326"/>
      <c r="P28" s="278"/>
      <c r="Q28" s="313"/>
      <c r="R28" s="314"/>
      <c r="S28" s="317"/>
      <c r="T28" s="318"/>
      <c r="U28" s="321"/>
      <c r="V28" s="322"/>
      <c r="W28" s="325"/>
      <c r="X28" s="326"/>
      <c r="Y28" s="129"/>
      <c r="Z28" s="436" t="s">
        <v>82</v>
      </c>
      <c r="AA28" s="435"/>
    </row>
    <row r="29" spans="1:28" ht="15" thickBot="1" x14ac:dyDescent="0.35">
      <c r="B29" s="299"/>
      <c r="C29" s="437"/>
      <c r="D29" s="438"/>
      <c r="E29" s="439"/>
      <c r="F29" s="440" t="s">
        <v>80</v>
      </c>
      <c r="G29" s="441"/>
      <c r="H29" s="442"/>
      <c r="I29" s="443"/>
      <c r="J29" s="444" t="s">
        <v>85</v>
      </c>
      <c r="K29" s="443"/>
      <c r="L29" s="444" t="s">
        <v>85</v>
      </c>
      <c r="M29" s="443"/>
      <c r="N29" s="444" t="s">
        <v>85</v>
      </c>
      <c r="O29" s="443"/>
      <c r="P29" s="445"/>
      <c r="Q29" s="442"/>
      <c r="R29" s="443"/>
      <c r="S29" s="444" t="s">
        <v>85</v>
      </c>
      <c r="T29" s="443"/>
      <c r="U29" s="444" t="s">
        <v>85</v>
      </c>
      <c r="V29" s="443"/>
      <c r="W29" s="444" t="s">
        <v>85</v>
      </c>
      <c r="X29" s="443"/>
      <c r="Y29" s="446"/>
      <c r="Z29" s="447" t="s">
        <v>83</v>
      </c>
      <c r="AA29" s="441"/>
    </row>
    <row r="30" spans="1:28" ht="14.4" x14ac:dyDescent="0.3">
      <c r="B30" s="17"/>
      <c r="C30" s="17"/>
      <c r="D30" s="17"/>
      <c r="E30" s="17"/>
      <c r="F30" s="18"/>
      <c r="G30" s="18"/>
      <c r="H30" s="120"/>
      <c r="I30" s="18"/>
      <c r="J30" s="120"/>
      <c r="K30" s="18"/>
      <c r="L30" s="120"/>
      <c r="M30" s="18"/>
      <c r="N30" s="120"/>
      <c r="O30" s="18"/>
      <c r="P30" s="18"/>
      <c r="Q30" s="120"/>
      <c r="R30" s="18"/>
      <c r="S30" s="120"/>
      <c r="T30" s="18"/>
      <c r="U30" s="120"/>
      <c r="V30" s="18"/>
      <c r="W30" s="120"/>
      <c r="X30" s="18"/>
      <c r="Y30" s="18"/>
      <c r="Z30" s="18"/>
      <c r="AA30" s="19"/>
    </row>
    <row r="31" spans="1:28" ht="14.4" x14ac:dyDescent="0.3">
      <c r="B31" s="15"/>
      <c r="C31" s="15"/>
      <c r="D31" s="15"/>
      <c r="E31" s="15"/>
      <c r="F31" s="20">
        <v>10</v>
      </c>
      <c r="G31" s="20">
        <v>10</v>
      </c>
      <c r="H31" s="121">
        <v>10</v>
      </c>
      <c r="I31" s="20"/>
      <c r="J31" s="121">
        <v>10</v>
      </c>
      <c r="K31" s="20">
        <v>10</v>
      </c>
      <c r="L31" s="121">
        <v>10</v>
      </c>
      <c r="M31" s="20"/>
      <c r="N31" s="121"/>
      <c r="O31" s="20"/>
      <c r="P31" s="20"/>
      <c r="Q31" s="121"/>
      <c r="R31" s="20"/>
      <c r="S31" s="121"/>
      <c r="T31" s="20"/>
      <c r="U31" s="121"/>
      <c r="V31" s="20"/>
      <c r="W31" s="121"/>
      <c r="X31" s="20"/>
      <c r="Y31" s="20"/>
      <c r="Z31" s="20"/>
      <c r="AA31" s="15"/>
    </row>
    <row r="32" spans="1:28" ht="14.4" x14ac:dyDescent="0.3">
      <c r="B32" s="16" t="s">
        <v>15</v>
      </c>
      <c r="C32" s="16"/>
      <c r="D32" s="16"/>
      <c r="E32" s="16"/>
      <c r="F32" s="21"/>
      <c r="G32" s="15"/>
      <c r="H32" s="119"/>
      <c r="I32" s="15"/>
      <c r="J32" s="119"/>
      <c r="K32" s="15"/>
      <c r="L32" s="119"/>
      <c r="M32" s="15"/>
      <c r="N32" s="119"/>
      <c r="O32" s="15"/>
      <c r="P32" s="15"/>
      <c r="Q32" s="119"/>
      <c r="R32" s="15"/>
      <c r="S32" s="119"/>
      <c r="T32" s="15"/>
      <c r="U32" s="119"/>
      <c r="V32" s="15"/>
      <c r="W32" s="119"/>
      <c r="X32" s="15"/>
      <c r="Y32" s="15"/>
      <c r="Z32" s="15"/>
      <c r="AA32" s="15"/>
    </row>
    <row r="33" spans="2:27" ht="14.4" x14ac:dyDescent="0.3">
      <c r="B33" s="22" t="s">
        <v>16</v>
      </c>
      <c r="C33" s="22"/>
      <c r="D33" s="22"/>
      <c r="E33" s="22"/>
      <c r="F33" s="15"/>
      <c r="G33" s="15"/>
      <c r="H33" s="119"/>
      <c r="I33" s="15"/>
      <c r="J33" s="119"/>
      <c r="K33" s="15"/>
      <c r="L33" s="119"/>
      <c r="M33" s="15"/>
      <c r="N33" s="119"/>
      <c r="O33" s="15"/>
      <c r="P33" s="15"/>
      <c r="Q33" s="119"/>
      <c r="R33" s="15"/>
      <c r="S33" s="119"/>
      <c r="T33" s="15"/>
      <c r="U33" s="119"/>
      <c r="V33" s="15"/>
      <c r="W33" s="119"/>
      <c r="X33" s="15"/>
      <c r="Y33" s="15"/>
      <c r="Z33" s="15"/>
      <c r="AA33" s="15"/>
    </row>
    <row r="34" spans="2:27" ht="14.4" x14ac:dyDescent="0.3">
      <c r="B34" s="23"/>
      <c r="C34" s="23"/>
      <c r="D34" s="23"/>
      <c r="E34" s="23"/>
      <c r="F34" s="15"/>
      <c r="G34" s="15"/>
      <c r="H34" s="119"/>
      <c r="I34" s="15"/>
      <c r="J34" s="119"/>
      <c r="K34" s="15"/>
      <c r="L34" s="119"/>
      <c r="M34" s="15"/>
      <c r="N34" s="119"/>
      <c r="O34" s="15"/>
      <c r="P34" s="15"/>
      <c r="Q34" s="119"/>
      <c r="R34" s="15"/>
      <c r="S34" s="119"/>
      <c r="T34" s="15"/>
      <c r="U34" s="119"/>
      <c r="V34" s="15"/>
      <c r="W34" s="119"/>
      <c r="X34" s="15"/>
      <c r="Y34" s="15"/>
      <c r="Z34" s="15"/>
      <c r="AA34" s="15"/>
    </row>
    <row r="35" spans="2:27" ht="14.4" x14ac:dyDescent="0.3"/>
    <row r="36" spans="2:27" ht="14.4" x14ac:dyDescent="0.3"/>
    <row r="37" spans="2:27" ht="14.4" hidden="1" x14ac:dyDescent="0.3"/>
    <row r="38" spans="2:27" ht="14.4" hidden="1" x14ac:dyDescent="0.3"/>
    <row r="39" spans="2:27" ht="14.4" hidden="1" x14ac:dyDescent="0.3"/>
    <row r="40" spans="2:27" ht="14.4" hidden="1" x14ac:dyDescent="0.3"/>
    <row r="41" spans="2:27" ht="14.4" hidden="1" x14ac:dyDescent="0.3"/>
    <row r="42" spans="2:27" ht="14.4" hidden="1" x14ac:dyDescent="0.3"/>
    <row r="43" spans="2:27" ht="14.4" hidden="1" x14ac:dyDescent="0.3"/>
    <row r="44" spans="2:27" ht="14.4" hidden="1" x14ac:dyDescent="0.3"/>
    <row r="45" spans="2:27" ht="14.4" hidden="1" x14ac:dyDescent="0.3"/>
    <row r="46" spans="2:27" ht="14.4" hidden="1" x14ac:dyDescent="0.3"/>
    <row r="47" spans="2:27" ht="14.4" hidden="1" x14ac:dyDescent="0.3"/>
    <row r="48" spans="2:27" ht="14.4" hidden="1" x14ac:dyDescent="0.3"/>
    <row r="49" ht="14.4" hidden="1" x14ac:dyDescent="0.3"/>
    <row r="50" ht="14.4" hidden="1" x14ac:dyDescent="0.3"/>
    <row r="51" ht="14.4" hidden="1" x14ac:dyDescent="0.3"/>
    <row r="52" ht="14.4" hidden="1" x14ac:dyDescent="0.3"/>
    <row r="53" ht="14.4" hidden="1" x14ac:dyDescent="0.3"/>
    <row r="54" ht="14.4" hidden="1" x14ac:dyDescent="0.3"/>
    <row r="55" ht="14.4" hidden="1" x14ac:dyDescent="0.3"/>
    <row r="56" ht="14.4" hidden="1" x14ac:dyDescent="0.3"/>
    <row r="57" ht="14.4" hidden="1" x14ac:dyDescent="0.3"/>
    <row r="58" ht="14.4" hidden="1" x14ac:dyDescent="0.3"/>
    <row r="59" ht="14.4" hidden="1" x14ac:dyDescent="0.3"/>
    <row r="60" ht="14.4" hidden="1" x14ac:dyDescent="0.3"/>
    <row r="61" ht="14.4" hidden="1" x14ac:dyDescent="0.3"/>
    <row r="62" ht="14.4" customHeight="1" x14ac:dyDescent="0.3"/>
  </sheetData>
  <sheetProtection algorithmName="SHA-512" hashValue="vx/9+zfxQ3bxqJjjUwuN3/3JYYEsU1D6giubplDPHH12/PNF3UHaFIztbXO25YmQc8ueTQnt+3CvgebY+jBc5g==" saltValue="BUyb+35jpLr5K/5WwrEwDA==" spinCount="100000" sheet="1" objects="1" scenarios="1" selectLockedCells="1"/>
  <mergeCells count="45">
    <mergeCell ref="Z27:AA27"/>
    <mergeCell ref="F28:G28"/>
    <mergeCell ref="Z28:AA28"/>
    <mergeCell ref="Q29:R29"/>
    <mergeCell ref="S29:T29"/>
    <mergeCell ref="U29:V29"/>
    <mergeCell ref="W29:X29"/>
    <mergeCell ref="Z29:AA29"/>
    <mergeCell ref="J29:K29"/>
    <mergeCell ref="L29:M29"/>
    <mergeCell ref="N29:O29"/>
    <mergeCell ref="U27:V28"/>
    <mergeCell ref="W27:X28"/>
    <mergeCell ref="W7:X7"/>
    <mergeCell ref="B27:B29"/>
    <mergeCell ref="C27:E29"/>
    <mergeCell ref="F27:G27"/>
    <mergeCell ref="H27:I28"/>
    <mergeCell ref="J27:K28"/>
    <mergeCell ref="L27:M28"/>
    <mergeCell ref="N27:O28"/>
    <mergeCell ref="Q27:R28"/>
    <mergeCell ref="S27:T28"/>
    <mergeCell ref="B5:B7"/>
    <mergeCell ref="C5:C7"/>
    <mergeCell ref="D5:D7"/>
    <mergeCell ref="E5:E7"/>
    <mergeCell ref="F29:G29"/>
    <mergeCell ref="H29:I29"/>
    <mergeCell ref="Z5:AA5"/>
    <mergeCell ref="F6:F7"/>
    <mergeCell ref="G6:G7"/>
    <mergeCell ref="H6:P6"/>
    <mergeCell ref="Q6:Y6"/>
    <mergeCell ref="Z6:Z7"/>
    <mergeCell ref="AA6:AA7"/>
    <mergeCell ref="H7:I7"/>
    <mergeCell ref="J7:K7"/>
    <mergeCell ref="L7:M7"/>
    <mergeCell ref="F5:G5"/>
    <mergeCell ref="H5:Y5"/>
    <mergeCell ref="N7:O7"/>
    <mergeCell ref="Q7:R7"/>
    <mergeCell ref="S7:T7"/>
    <mergeCell ref="U7:V7"/>
  </mergeCells>
  <conditionalFormatting sqref="F8:G9">
    <cfRule type="containsText" dxfId="201" priority="30" operator="containsText" text="N/A">
      <formula>NOT(ISERROR(SEARCH("N/A",F8)))</formula>
    </cfRule>
    <cfRule type="cellIs" dxfId="200" priority="37" operator="between">
      <formula>0.01</formula>
      <formula>13</formula>
    </cfRule>
    <cfRule type="cellIs" dxfId="199" priority="38" operator="between">
      <formula>13</formula>
      <formula>18</formula>
    </cfRule>
    <cfRule type="cellIs" dxfId="198" priority="39" operator="greaterThan">
      <formula>18</formula>
    </cfRule>
    <cfRule type="cellIs" dxfId="197" priority="40" operator="greaterThan">
      <formula>18</formula>
    </cfRule>
  </conditionalFormatting>
  <conditionalFormatting sqref="T8:T9 K8:K9">
    <cfRule type="cellIs" dxfId="196" priority="36" operator="greaterThan">
      <formula>0.5</formula>
    </cfRule>
  </conditionalFormatting>
  <conditionalFormatting sqref="M8:M9 V8:V9">
    <cfRule type="cellIs" dxfId="195" priority="35" operator="greaterThan">
      <formula>0.49</formula>
    </cfRule>
  </conditionalFormatting>
  <conditionalFormatting sqref="X8:X9 O8:O9">
    <cfRule type="cellIs" dxfId="194" priority="34" operator="greaterThan">
      <formula>0.5</formula>
    </cfRule>
  </conditionalFormatting>
  <conditionalFormatting sqref="Z8:AA9">
    <cfRule type="cellIs" dxfId="193" priority="31" operator="between">
      <formula>0.0001</formula>
      <formula>0.1</formula>
    </cfRule>
    <cfRule type="cellIs" dxfId="192" priority="32" operator="between">
      <formula>0.1</formula>
      <formula>0.19</formula>
    </cfRule>
    <cfRule type="cellIs" dxfId="191" priority="33" operator="greaterThan">
      <formula>0.2</formula>
    </cfRule>
  </conditionalFormatting>
  <conditionalFormatting sqref="J8:J24">
    <cfRule type="expression" dxfId="190" priority="29">
      <formula>($J8/$P8*100)&gt;49.49</formula>
    </cfRule>
  </conditionalFormatting>
  <conditionalFormatting sqref="L8:L24">
    <cfRule type="expression" dxfId="189" priority="28">
      <formula>($L8/$P8*100)&gt;49.49</formula>
    </cfRule>
  </conditionalFormatting>
  <conditionalFormatting sqref="N8:N24">
    <cfRule type="expression" dxfId="188" priority="27">
      <formula>($N8/$P8*100)&gt;49.49</formula>
    </cfRule>
  </conditionalFormatting>
  <conditionalFormatting sqref="S8:S24">
    <cfRule type="expression" dxfId="187" priority="26">
      <formula>($S8/$Y8*100)&gt;49.49</formula>
    </cfRule>
  </conditionalFormatting>
  <conditionalFormatting sqref="U8:U24">
    <cfRule type="expression" dxfId="186" priority="25">
      <formula>($U8/$Y8*100)&gt;49.49</formula>
    </cfRule>
  </conditionalFormatting>
  <conditionalFormatting sqref="W8:W24">
    <cfRule type="expression" dxfId="185" priority="24">
      <formula>($W8/$Y8*100)&gt;49.49</formula>
    </cfRule>
  </conditionalFormatting>
  <conditionalFormatting sqref="L9">
    <cfRule type="expression" dxfId="184" priority="23">
      <formula>"$M$9=&gt;.499"</formula>
    </cfRule>
  </conditionalFormatting>
  <conditionalFormatting sqref="F8:AA24">
    <cfRule type="expression" dxfId="183" priority="20">
      <formula>$F8="No data"</formula>
    </cfRule>
  </conditionalFormatting>
  <conditionalFormatting sqref="F10:G24">
    <cfRule type="containsText" dxfId="182" priority="9" operator="containsText" text="N/A">
      <formula>NOT(ISERROR(SEARCH("N/A",F10)))</formula>
    </cfRule>
    <cfRule type="cellIs" dxfId="181" priority="16" operator="between">
      <formula>0.01</formula>
      <formula>13</formula>
    </cfRule>
    <cfRule type="cellIs" dxfId="180" priority="17" operator="between">
      <formula>13</formula>
      <formula>18</formula>
    </cfRule>
    <cfRule type="cellIs" dxfId="179" priority="18" operator="greaterThan">
      <formula>18</formula>
    </cfRule>
    <cfRule type="cellIs" dxfId="178" priority="19" operator="greaterThan">
      <formula>18</formula>
    </cfRule>
  </conditionalFormatting>
  <conditionalFormatting sqref="T10:T24 K10:K24">
    <cfRule type="cellIs" dxfId="177" priority="15" operator="greaterThan">
      <formula>0.5</formula>
    </cfRule>
  </conditionalFormatting>
  <conditionalFormatting sqref="M10:M24 V10:V24">
    <cfRule type="cellIs" dxfId="176" priority="14" operator="greaterThan">
      <formula>0.49</formula>
    </cfRule>
  </conditionalFormatting>
  <conditionalFormatting sqref="X10:X24 O10:O24">
    <cfRule type="cellIs" dxfId="175" priority="13" operator="greaterThan">
      <formula>0.5</formula>
    </cfRule>
  </conditionalFormatting>
  <conditionalFormatting sqref="Z10:AA24">
    <cfRule type="cellIs" dxfId="174" priority="10" operator="between">
      <formula>0.0001</formula>
      <formula>0.1</formula>
    </cfRule>
    <cfRule type="cellIs" dxfId="173" priority="11" operator="between">
      <formula>0.1</formula>
      <formula>0.19</formula>
    </cfRule>
    <cfRule type="cellIs" dxfId="172" priority="12" operator="greaterThan">
      <formula>0.2</formula>
    </cfRule>
  </conditionalFormatting>
  <conditionalFormatting sqref="L11 L13 L15 L17 L19 L21 L23">
    <cfRule type="expression" dxfId="171" priority="2">
      <formula>"$M$9=&gt;.499"</formula>
    </cfRule>
  </conditionalFormatting>
  <hyperlinks>
    <hyperlink ref="C27:E29" location="Sheet1!A1" display="For more information on rag ratings please click here" xr:uid="{00000000-0004-0000-0200-000000000000}"/>
    <hyperlink ref="B3" location="'Front Page'!A1" display="Return to Contents" xr:uid="{00000000-0004-0000-0200-000001000000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62"/>
  <sheetViews>
    <sheetView showGridLines="0" zoomScale="85" zoomScaleNormal="85" workbookViewId="0">
      <selection activeCell="B3" sqref="B3"/>
    </sheetView>
  </sheetViews>
  <sheetFormatPr defaultColWidth="0" defaultRowHeight="0" customHeight="1" zeroHeight="1" x14ac:dyDescent="0.3"/>
  <cols>
    <col min="1" max="1" width="4" style="178" customWidth="1"/>
    <col min="2" max="2" width="59.6640625" style="178" customWidth="1"/>
    <col min="3" max="3" width="11.6640625" style="178" customWidth="1"/>
    <col min="4" max="4" width="7.6640625" style="178" customWidth="1"/>
    <col min="5" max="5" width="10" style="178" customWidth="1"/>
    <col min="6" max="7" width="12" style="178" customWidth="1"/>
    <col min="8" max="8" width="5.109375" style="448" customWidth="1"/>
    <col min="9" max="9" width="6.88671875" style="178" customWidth="1"/>
    <col min="10" max="10" width="5.109375" style="448" customWidth="1"/>
    <col min="11" max="11" width="6.88671875" style="178" customWidth="1"/>
    <col min="12" max="12" width="5.109375" style="448" customWidth="1"/>
    <col min="13" max="13" width="6.88671875" style="178" customWidth="1"/>
    <col min="14" max="14" width="5.109375" style="448" customWidth="1"/>
    <col min="15" max="15" width="6.88671875" style="178" customWidth="1"/>
    <col min="16" max="16" width="11.5546875" style="178" customWidth="1"/>
    <col min="17" max="17" width="5.109375" style="448" customWidth="1"/>
    <col min="18" max="18" width="6.88671875" style="178" customWidth="1"/>
    <col min="19" max="19" width="5.109375" style="448" customWidth="1"/>
    <col min="20" max="20" width="6.88671875" style="178" customWidth="1"/>
    <col min="21" max="21" width="5.109375" style="448" customWidth="1"/>
    <col min="22" max="22" width="6.88671875" style="178" customWidth="1"/>
    <col min="23" max="23" width="5.109375" style="448" customWidth="1"/>
    <col min="24" max="24" width="6.88671875" style="178" customWidth="1"/>
    <col min="25" max="25" width="11.5546875" style="178" customWidth="1"/>
    <col min="26" max="27" width="10.6640625" style="178" customWidth="1"/>
    <col min="28" max="28" width="9.109375" style="178" customWidth="1"/>
    <col min="29" max="30" width="0" style="33" hidden="1" customWidth="1"/>
    <col min="31" max="16384" width="9.109375" style="33" hidden="1"/>
  </cols>
  <sheetData>
    <row r="1" spans="1:28" ht="35.25" customHeight="1" x14ac:dyDescent="0.3">
      <c r="A1" s="10"/>
      <c r="B1" s="96" t="s">
        <v>101</v>
      </c>
      <c r="C1" s="83"/>
      <c r="D1" s="83"/>
      <c r="E1" s="83"/>
      <c r="F1" s="83"/>
      <c r="G1" s="83"/>
      <c r="H1" s="116"/>
      <c r="I1" s="83"/>
      <c r="J1" s="116"/>
      <c r="K1" s="83"/>
      <c r="L1" s="116"/>
      <c r="M1" s="83"/>
      <c r="N1" s="116"/>
      <c r="O1" s="83"/>
      <c r="P1" s="83"/>
      <c r="Q1" s="116"/>
      <c r="R1" s="83"/>
      <c r="S1" s="116"/>
      <c r="T1" s="83"/>
      <c r="U1" s="116"/>
      <c r="V1" s="83"/>
      <c r="W1" s="116"/>
      <c r="X1" s="83"/>
      <c r="Y1" s="83"/>
      <c r="Z1" s="83"/>
      <c r="AA1" s="83"/>
      <c r="AB1" s="83"/>
    </row>
    <row r="2" spans="1:28" s="41" customFormat="1" ht="5.0999999999999996" customHeight="1" x14ac:dyDescent="0.3">
      <c r="B2" s="123"/>
      <c r="C2" s="124"/>
      <c r="D2" s="124"/>
      <c r="E2" s="124"/>
      <c r="F2" s="124"/>
      <c r="G2" s="124"/>
      <c r="H2" s="125"/>
      <c r="I2" s="124"/>
      <c r="J2" s="125"/>
      <c r="K2" s="124"/>
      <c r="L2" s="125"/>
      <c r="M2" s="124"/>
      <c r="N2" s="125"/>
      <c r="O2" s="124"/>
      <c r="P2" s="124"/>
      <c r="Q2" s="125"/>
      <c r="R2" s="124"/>
      <c r="S2" s="125"/>
      <c r="T2" s="124"/>
      <c r="U2" s="125"/>
      <c r="V2" s="124"/>
      <c r="W2" s="125"/>
      <c r="X2" s="124"/>
      <c r="Y2" s="124"/>
      <c r="AB2" s="124"/>
    </row>
    <row r="3" spans="1:28" s="92" customFormat="1" ht="31.5" customHeight="1" x14ac:dyDescent="0.35">
      <c r="A3" s="419"/>
      <c r="B3" s="449" t="s">
        <v>95</v>
      </c>
      <c r="C3" s="93"/>
      <c r="D3" s="93"/>
      <c r="E3" s="93"/>
      <c r="F3" s="93"/>
      <c r="G3" s="419"/>
      <c r="H3" s="117"/>
      <c r="I3" s="93"/>
      <c r="J3" s="117"/>
      <c r="K3" s="93"/>
      <c r="L3" s="117"/>
      <c r="M3" s="94"/>
      <c r="N3" s="117"/>
      <c r="O3" s="94"/>
      <c r="P3" s="94"/>
      <c r="Q3" s="117"/>
      <c r="R3" s="94"/>
      <c r="S3" s="117"/>
      <c r="T3" s="94"/>
      <c r="U3" s="117"/>
      <c r="V3" s="94"/>
      <c r="W3" s="117"/>
      <c r="X3" s="94"/>
      <c r="Y3" s="94"/>
      <c r="Z3" s="93"/>
      <c r="AA3" s="95"/>
      <c r="AB3" s="419"/>
    </row>
    <row r="4" spans="1:28" ht="35.4" customHeight="1" thickBot="1" x14ac:dyDescent="0.5">
      <c r="B4" s="127" t="s">
        <v>192</v>
      </c>
      <c r="C4" s="13"/>
      <c r="D4" s="13"/>
      <c r="E4" s="13"/>
      <c r="F4" s="42"/>
      <c r="G4" s="13"/>
      <c r="H4" s="118"/>
      <c r="I4" s="13"/>
      <c r="J4" s="118"/>
      <c r="K4" s="13"/>
      <c r="L4" s="118"/>
      <c r="M4" s="14"/>
      <c r="N4" s="118"/>
      <c r="O4" s="14"/>
      <c r="P4" s="14"/>
      <c r="Q4" s="118"/>
      <c r="R4" s="14"/>
      <c r="S4" s="118"/>
      <c r="T4" s="14"/>
      <c r="U4" s="118"/>
      <c r="V4" s="14"/>
      <c r="W4" s="118"/>
      <c r="X4" s="14"/>
      <c r="Y4" s="14"/>
      <c r="Z4" s="13"/>
      <c r="AA4" s="15"/>
    </row>
    <row r="5" spans="1:28" ht="30.75" customHeight="1" thickTop="1" thickBot="1" x14ac:dyDescent="0.35">
      <c r="B5" s="327" t="s">
        <v>14</v>
      </c>
      <c r="C5" s="328" t="s">
        <v>18</v>
      </c>
      <c r="D5" s="328" t="s">
        <v>65</v>
      </c>
      <c r="E5" s="328" t="s">
        <v>19</v>
      </c>
      <c r="F5" s="288" t="s">
        <v>24</v>
      </c>
      <c r="G5" s="289"/>
      <c r="H5" s="288" t="s">
        <v>27</v>
      </c>
      <c r="I5" s="294"/>
      <c r="J5" s="294"/>
      <c r="K5" s="294"/>
      <c r="L5" s="294"/>
      <c r="M5" s="294"/>
      <c r="N5" s="294"/>
      <c r="O5" s="294"/>
      <c r="P5" s="294"/>
      <c r="Q5" s="294"/>
      <c r="R5" s="294"/>
      <c r="S5" s="294"/>
      <c r="T5" s="294"/>
      <c r="U5" s="294"/>
      <c r="V5" s="294"/>
      <c r="W5" s="294"/>
      <c r="X5" s="294"/>
      <c r="Y5" s="294"/>
      <c r="Z5" s="288" t="s">
        <v>3</v>
      </c>
      <c r="AA5" s="289"/>
    </row>
    <row r="6" spans="1:28" ht="44.1" customHeight="1" thickTop="1" thickBot="1" x14ac:dyDescent="0.35">
      <c r="B6" s="327"/>
      <c r="C6" s="329"/>
      <c r="D6" s="329"/>
      <c r="E6" s="329"/>
      <c r="F6" s="290" t="s">
        <v>25</v>
      </c>
      <c r="G6" s="292" t="s">
        <v>26</v>
      </c>
      <c r="H6" s="288" t="s">
        <v>32</v>
      </c>
      <c r="I6" s="294"/>
      <c r="J6" s="294"/>
      <c r="K6" s="294"/>
      <c r="L6" s="294"/>
      <c r="M6" s="294"/>
      <c r="N6" s="294"/>
      <c r="O6" s="294"/>
      <c r="P6" s="294"/>
      <c r="Q6" s="288" t="s">
        <v>31</v>
      </c>
      <c r="R6" s="294"/>
      <c r="S6" s="294"/>
      <c r="T6" s="294"/>
      <c r="U6" s="294"/>
      <c r="V6" s="294"/>
      <c r="W6" s="294"/>
      <c r="X6" s="294"/>
      <c r="Y6" s="294"/>
      <c r="Z6" s="290" t="s">
        <v>9</v>
      </c>
      <c r="AA6" s="292" t="s">
        <v>17</v>
      </c>
    </row>
    <row r="7" spans="1:28" ht="51.75" customHeight="1" thickTop="1" thickBot="1" x14ac:dyDescent="0.35">
      <c r="B7" s="327"/>
      <c r="C7" s="330"/>
      <c r="D7" s="330"/>
      <c r="E7" s="330"/>
      <c r="F7" s="291"/>
      <c r="G7" s="293"/>
      <c r="H7" s="295" t="s">
        <v>117</v>
      </c>
      <c r="I7" s="296"/>
      <c r="J7" s="297" t="s">
        <v>28</v>
      </c>
      <c r="K7" s="297"/>
      <c r="L7" s="297" t="s">
        <v>29</v>
      </c>
      <c r="M7" s="297"/>
      <c r="N7" s="298" t="s">
        <v>30</v>
      </c>
      <c r="O7" s="297"/>
      <c r="P7" s="276" t="s">
        <v>118</v>
      </c>
      <c r="Q7" s="295" t="s">
        <v>117</v>
      </c>
      <c r="R7" s="296"/>
      <c r="S7" s="297" t="s">
        <v>28</v>
      </c>
      <c r="T7" s="297"/>
      <c r="U7" s="297" t="s">
        <v>29</v>
      </c>
      <c r="V7" s="297"/>
      <c r="W7" s="298" t="s">
        <v>30</v>
      </c>
      <c r="X7" s="297"/>
      <c r="Y7" s="276" t="s">
        <v>118</v>
      </c>
      <c r="Z7" s="291"/>
      <c r="AA7" s="293"/>
    </row>
    <row r="8" spans="1:28" s="82" customFormat="1" ht="21.75" customHeight="1" thickTop="1" thickBot="1" x14ac:dyDescent="0.35">
      <c r="A8" s="427"/>
      <c r="B8" s="450" t="s">
        <v>164</v>
      </c>
      <c r="C8" s="450" t="s">
        <v>23</v>
      </c>
      <c r="D8" s="451">
        <v>1</v>
      </c>
      <c r="E8" s="450" t="s">
        <v>21</v>
      </c>
      <c r="F8" s="213">
        <f>INDEX(Q1_Paeds,15,7)</f>
        <v>78</v>
      </c>
      <c r="G8" s="213">
        <f>INDEX(Q1_Paeds,15,8)</f>
        <v>0</v>
      </c>
      <c r="H8" s="199">
        <f>INDEX(Q1_Paeds,15,9)</f>
        <v>339</v>
      </c>
      <c r="I8" s="200">
        <f>IFERROR(H8/P8,0)</f>
        <v>0.2516703786191537</v>
      </c>
      <c r="J8" s="201">
        <f>INDEX(Q1_Paeds,15,10)</f>
        <v>313</v>
      </c>
      <c r="K8" s="200">
        <f>IFERROR(J8/P8,0)</f>
        <v>0.2323682256867112</v>
      </c>
      <c r="L8" s="201">
        <f>INDEX(Q1_Paeds,15,11)</f>
        <v>445</v>
      </c>
      <c r="M8" s="200">
        <f>IFERROR(L8/P8,0)</f>
        <v>0.3303637713437268</v>
      </c>
      <c r="N8" s="201">
        <f>INDEX(Q1_Paeds,15,12)</f>
        <v>250</v>
      </c>
      <c r="O8" s="200">
        <f>IFERROR(N8/P8,0)</f>
        <v>0.1855976243504083</v>
      </c>
      <c r="P8" s="202">
        <f>INDEX(Q1_Paeds,15,13)</f>
        <v>1347</v>
      </c>
      <c r="Q8" s="199">
        <f>INDEX(Q1_Paeds,15,15)</f>
        <v>0</v>
      </c>
      <c r="R8" s="200">
        <f>IFERROR(Q8/Y8,0)</f>
        <v>0</v>
      </c>
      <c r="S8" s="201">
        <f>INDEX(Q1_Paeds,15,16)</f>
        <v>0</v>
      </c>
      <c r="T8" s="200">
        <f>IFERROR(S8/Y8,0)</f>
        <v>0</v>
      </c>
      <c r="U8" s="423">
        <f>INDEX(Q1_Paeds,15,17)</f>
        <v>0</v>
      </c>
      <c r="V8" s="200">
        <f>IFERROR(U8/Y8,0)</f>
        <v>0</v>
      </c>
      <c r="W8" s="201">
        <f>INDEX(Q1_Paeds,15,18)</f>
        <v>0</v>
      </c>
      <c r="X8" s="200">
        <f>IFERROR(W8/Y8,0)</f>
        <v>0</v>
      </c>
      <c r="Y8" s="202">
        <f>INDEX(Q1_Paeds,15,19)</f>
        <v>0</v>
      </c>
      <c r="Z8" s="214">
        <f>INDEX(Q1_Paeds,15,21)</f>
        <v>0.06</v>
      </c>
      <c r="AA8" s="215">
        <f>INDEX(Q1_Paeds,15,22)</f>
        <v>0</v>
      </c>
      <c r="AB8" s="427"/>
    </row>
    <row r="9" spans="1:28" s="8" customFormat="1" ht="21.75" customHeight="1" thickTop="1" thickBot="1" x14ac:dyDescent="0.35">
      <c r="A9" s="420"/>
      <c r="B9" s="452" t="s">
        <v>158</v>
      </c>
      <c r="C9" s="452" t="s">
        <v>23</v>
      </c>
      <c r="D9" s="453">
        <v>2</v>
      </c>
      <c r="E9" s="452" t="s">
        <v>22</v>
      </c>
      <c r="F9" s="216">
        <f>INDEX(Q1_Paeds,6,7)</f>
        <v>14</v>
      </c>
      <c r="G9" s="217">
        <f>INDEX(Q1_Paeds,6,8)</f>
        <v>0</v>
      </c>
      <c r="H9" s="204">
        <f>INDEX(Q1_Paeds,6,9)</f>
        <v>151</v>
      </c>
      <c r="I9" s="205">
        <f>IFERROR(H9/P9,0)</f>
        <v>0.1935897435897436</v>
      </c>
      <c r="J9" s="206">
        <f>INDEX(Q1_Paeds,6,10)</f>
        <v>159</v>
      </c>
      <c r="K9" s="205">
        <f>IFERROR(J9/P9,0)</f>
        <v>0.20384615384615384</v>
      </c>
      <c r="L9" s="206">
        <f>INDEX(Q1_Paeds,6,11)</f>
        <v>314</v>
      </c>
      <c r="M9" s="205">
        <f>IFERROR(L9/P9,0)</f>
        <v>0.40256410256410258</v>
      </c>
      <c r="N9" s="206">
        <f>INDEX(Q1_Paeds,6,12)</f>
        <v>156</v>
      </c>
      <c r="O9" s="205">
        <f>IFERROR(N9/P9,0)</f>
        <v>0.2</v>
      </c>
      <c r="P9" s="207">
        <f>INDEX(Q1_Paeds,6,13)</f>
        <v>780</v>
      </c>
      <c r="Q9" s="208">
        <f>INDEX(Q1_Paeds,6,15)</f>
        <v>0</v>
      </c>
      <c r="R9" s="205">
        <f>IFERROR(Q9/Y9,0)</f>
        <v>0</v>
      </c>
      <c r="S9" s="206">
        <f>INDEX(Q1_Paeds,6,16)</f>
        <v>0</v>
      </c>
      <c r="T9" s="205">
        <f>IFERROR(S9/Y9,0)</f>
        <v>0</v>
      </c>
      <c r="U9" s="426">
        <f>INDEX(Q1_Paeds,6,17)</f>
        <v>0</v>
      </c>
      <c r="V9" s="205">
        <f>IFERROR(U9/Y9,0)</f>
        <v>0</v>
      </c>
      <c r="W9" s="206">
        <f>INDEX(Q1_Paeds,6,18)</f>
        <v>0</v>
      </c>
      <c r="X9" s="205">
        <f>IFERROR(W9/Y9,0)</f>
        <v>0</v>
      </c>
      <c r="Y9" s="207">
        <f>INDEX(Q1_Paeds,6,19)</f>
        <v>0</v>
      </c>
      <c r="Z9" s="218">
        <f>INDEX(Q1_Paeds,6,21)</f>
        <v>0.10199999999999999</v>
      </c>
      <c r="AA9" s="219">
        <f>INDEX(Q1_Paeds,6,22)</f>
        <v>0</v>
      </c>
      <c r="AB9" s="420"/>
    </row>
    <row r="10" spans="1:28" s="8" customFormat="1" ht="21.75" customHeight="1" thickTop="1" thickBot="1" x14ac:dyDescent="0.35">
      <c r="A10" s="420"/>
      <c r="B10" s="421" t="s">
        <v>157</v>
      </c>
      <c r="C10" s="421" t="s">
        <v>23</v>
      </c>
      <c r="D10" s="422">
        <v>3</v>
      </c>
      <c r="E10" s="421" t="s">
        <v>22</v>
      </c>
      <c r="F10" s="213">
        <f>INDEX(Q1_Paeds,5,7)</f>
        <v>12</v>
      </c>
      <c r="G10" s="220">
        <f>INDEX(Q1_Paeds,5,8)</f>
        <v>13</v>
      </c>
      <c r="H10" s="210">
        <f>INDEX(Q1_Paeds,5,9)</f>
        <v>45</v>
      </c>
      <c r="I10" s="200">
        <f>IFERROR(H10/P10,0)</f>
        <v>0.23809523809523808</v>
      </c>
      <c r="J10" s="201">
        <f>INDEX(Q1_Paeds,5,10)</f>
        <v>42</v>
      </c>
      <c r="K10" s="200">
        <f>IFERROR(J10/P10,0)</f>
        <v>0.22222222222222221</v>
      </c>
      <c r="L10" s="201">
        <f>INDEX(Q1_Paeds,5,11)</f>
        <v>64</v>
      </c>
      <c r="M10" s="200">
        <f>IFERROR(L10/P10,0)</f>
        <v>0.33862433862433861</v>
      </c>
      <c r="N10" s="201">
        <f>INDEX(Q1_Paeds,5,12)</f>
        <v>38</v>
      </c>
      <c r="O10" s="200">
        <f>IFERROR(N10/P10,0)</f>
        <v>0.20105820105820105</v>
      </c>
      <c r="P10" s="202">
        <f>INDEX(Q1_Paeds,5,13)</f>
        <v>189</v>
      </c>
      <c r="Q10" s="199">
        <f>INDEX(Q1_Paeds,5,15)</f>
        <v>67</v>
      </c>
      <c r="R10" s="200">
        <f>IFERROR(Q10/Y10,0)</f>
        <v>0.1642156862745098</v>
      </c>
      <c r="S10" s="201">
        <f>INDEX(Q1_Paeds,5,16)</f>
        <v>97</v>
      </c>
      <c r="T10" s="200">
        <f>IFERROR(S10/Y10,0)</f>
        <v>0.23774509803921567</v>
      </c>
      <c r="U10" s="423">
        <f>INDEX(Q1_Paeds,5,17)</f>
        <v>150</v>
      </c>
      <c r="V10" s="200">
        <f>IFERROR(U10/Y10,0)</f>
        <v>0.36764705882352944</v>
      </c>
      <c r="W10" s="201">
        <f>INDEX(Q1_Paeds,5,18)</f>
        <v>94</v>
      </c>
      <c r="X10" s="200">
        <f>IFERROR(W10/Y10,0)</f>
        <v>0.23039215686274508</v>
      </c>
      <c r="Y10" s="202">
        <f>INDEX(Q1_Paeds,5,19)</f>
        <v>408</v>
      </c>
      <c r="Z10" s="214">
        <f>INDEX(Q1_Paeds,5,21)</f>
        <v>9.0999999999999998E-2</v>
      </c>
      <c r="AA10" s="215">
        <f>INDEX(Q1_Paeds,5,22)</f>
        <v>0.11899999999999999</v>
      </c>
      <c r="AB10" s="420"/>
    </row>
    <row r="11" spans="1:28" s="8" customFormat="1" ht="21.75" customHeight="1" thickTop="1" thickBot="1" x14ac:dyDescent="0.35">
      <c r="A11" s="420"/>
      <c r="B11" s="454" t="s">
        <v>159</v>
      </c>
      <c r="C11" s="454" t="s">
        <v>23</v>
      </c>
      <c r="D11" s="455">
        <v>3</v>
      </c>
      <c r="E11" s="454" t="s">
        <v>22</v>
      </c>
      <c r="F11" s="216">
        <f>INDEX(Q1_Paeds,7,7)</f>
        <v>0</v>
      </c>
      <c r="G11" s="217">
        <f>INDEX(Q1_Paeds,7,8)</f>
        <v>0</v>
      </c>
      <c r="H11" s="204">
        <f>INDEX(Q1_Paeds,7,9)</f>
        <v>18</v>
      </c>
      <c r="I11" s="205">
        <f t="shared" ref="I11:I25" si="0">IFERROR(H11/P11,0)</f>
        <v>1</v>
      </c>
      <c r="J11" s="206">
        <f>INDEX(Q1_Paeds,7,10)</f>
        <v>0</v>
      </c>
      <c r="K11" s="205">
        <f t="shared" ref="K11:K25" si="1">IFERROR(J11/P11,0)</f>
        <v>0</v>
      </c>
      <c r="L11" s="206">
        <f>INDEX(Q1_Paeds,7,11)</f>
        <v>0</v>
      </c>
      <c r="M11" s="205">
        <f t="shared" ref="M11:M25" si="2">IFERROR(L11/P11,0)</f>
        <v>0</v>
      </c>
      <c r="N11" s="206">
        <f>INDEX(Q1_Paeds,7,12)</f>
        <v>0</v>
      </c>
      <c r="O11" s="205">
        <f t="shared" ref="O11:O25" si="3">IFERROR(N11/P11,0)</f>
        <v>0</v>
      </c>
      <c r="P11" s="207">
        <f>INDEX(Q1_Paeds,7,13)</f>
        <v>18</v>
      </c>
      <c r="Q11" s="208">
        <f>INDEX(Q1_Paeds,7,15)</f>
        <v>105</v>
      </c>
      <c r="R11" s="205">
        <f t="shared" ref="R11:R25" si="4">IFERROR(Q11/Y11,0)</f>
        <v>0.61764705882352944</v>
      </c>
      <c r="S11" s="206">
        <f>INDEX(Q1_Paeds,7,16)</f>
        <v>45</v>
      </c>
      <c r="T11" s="205">
        <f t="shared" ref="T11:T25" si="5">IFERROR(S11/Y11,0)</f>
        <v>0.26470588235294118</v>
      </c>
      <c r="U11" s="426">
        <f>INDEX(Q1_Paeds,7,17)</f>
        <v>20</v>
      </c>
      <c r="V11" s="205">
        <f t="shared" ref="V11:V25" si="6">IFERROR(U11/Y11,0)</f>
        <v>0.11764705882352941</v>
      </c>
      <c r="W11" s="206">
        <f>INDEX(Q1_Paeds,7,18)</f>
        <v>0</v>
      </c>
      <c r="X11" s="205">
        <f t="shared" ref="X11:X25" si="7">IFERROR(W11/Y11,0)</f>
        <v>0</v>
      </c>
      <c r="Y11" s="207">
        <f>INDEX(Q1_Paeds,7,19)</f>
        <v>170</v>
      </c>
      <c r="Z11" s="218">
        <f>INDEX(Q1_Paeds,7,21)</f>
        <v>0.15</v>
      </c>
      <c r="AA11" s="219">
        <f>INDEX(Q1_Paeds,7,22)</f>
        <v>0.05</v>
      </c>
      <c r="AB11" s="420"/>
    </row>
    <row r="12" spans="1:28" s="8" customFormat="1" ht="21.75" customHeight="1" thickTop="1" thickBot="1" x14ac:dyDescent="0.35">
      <c r="A12" s="420"/>
      <c r="B12" s="450" t="s">
        <v>160</v>
      </c>
      <c r="C12" s="450" t="s">
        <v>23</v>
      </c>
      <c r="D12" s="451">
        <v>3</v>
      </c>
      <c r="E12" s="450" t="s">
        <v>22</v>
      </c>
      <c r="F12" s="213">
        <f>INDEX(Q1_Paeds,8,7)</f>
        <v>15</v>
      </c>
      <c r="G12" s="220">
        <f>INDEX(Q1_Paeds,8,8)</f>
        <v>0</v>
      </c>
      <c r="H12" s="210">
        <f>INDEX(Q1_Paeds,8,9)</f>
        <v>1</v>
      </c>
      <c r="I12" s="200">
        <f t="shared" si="0"/>
        <v>0.33333333333333331</v>
      </c>
      <c r="J12" s="201">
        <f>INDEX(Q1_Paeds,8,10)</f>
        <v>1</v>
      </c>
      <c r="K12" s="200">
        <f t="shared" si="1"/>
        <v>0.33333333333333331</v>
      </c>
      <c r="L12" s="201">
        <f>INDEX(Q1_Paeds,8,11)</f>
        <v>1</v>
      </c>
      <c r="M12" s="200">
        <f t="shared" si="2"/>
        <v>0.33333333333333331</v>
      </c>
      <c r="N12" s="201">
        <f>INDEX(Q1_Paeds,8,12)</f>
        <v>0</v>
      </c>
      <c r="O12" s="200">
        <f t="shared" si="3"/>
        <v>0</v>
      </c>
      <c r="P12" s="202">
        <f>INDEX(Q1_Paeds,8,13)</f>
        <v>3</v>
      </c>
      <c r="Q12" s="199">
        <f>INDEX(Q1_Paeds,8,15)</f>
        <v>2</v>
      </c>
      <c r="R12" s="200">
        <f t="shared" si="4"/>
        <v>0.13333333333333333</v>
      </c>
      <c r="S12" s="201">
        <f>INDEX(Q1_Paeds,8,16)</f>
        <v>5</v>
      </c>
      <c r="T12" s="200">
        <f t="shared" si="5"/>
        <v>0.33333333333333331</v>
      </c>
      <c r="U12" s="423">
        <f>INDEX(Q1_Paeds,8,17)</f>
        <v>6</v>
      </c>
      <c r="V12" s="200">
        <f t="shared" si="6"/>
        <v>0.4</v>
      </c>
      <c r="W12" s="201">
        <f>INDEX(Q1_Paeds,8,18)</f>
        <v>2</v>
      </c>
      <c r="X12" s="200">
        <f t="shared" si="7"/>
        <v>0.13333333333333333</v>
      </c>
      <c r="Y12" s="202">
        <f>INDEX(Q1_Paeds,8,19)</f>
        <v>15</v>
      </c>
      <c r="Z12" s="214">
        <f>INDEX(Q1_Paeds,8,21)</f>
        <v>0.25929999999999997</v>
      </c>
      <c r="AA12" s="215">
        <f>INDEX(Q1_Paeds,8,22)</f>
        <v>0</v>
      </c>
      <c r="AB12" s="420"/>
    </row>
    <row r="13" spans="1:28" s="8" customFormat="1" ht="21.75" customHeight="1" thickTop="1" thickBot="1" x14ac:dyDescent="0.35">
      <c r="A13" s="420"/>
      <c r="B13" s="452" t="s">
        <v>161</v>
      </c>
      <c r="C13" s="452" t="s">
        <v>23</v>
      </c>
      <c r="D13" s="453">
        <v>3</v>
      </c>
      <c r="E13" s="452" t="s">
        <v>22</v>
      </c>
      <c r="F13" s="216">
        <f>INDEX(Q1_Paeds,9,7)</f>
        <v>16</v>
      </c>
      <c r="G13" s="217">
        <f>INDEX(Q1_Paeds,9,8)</f>
        <v>15</v>
      </c>
      <c r="H13" s="204">
        <f>INDEX(Q1_Paeds,9,9)</f>
        <v>0</v>
      </c>
      <c r="I13" s="205">
        <f t="shared" si="0"/>
        <v>0</v>
      </c>
      <c r="J13" s="206">
        <f>INDEX(Q1_Paeds,9,10)</f>
        <v>0</v>
      </c>
      <c r="K13" s="205">
        <f t="shared" si="1"/>
        <v>0</v>
      </c>
      <c r="L13" s="206">
        <f>INDEX(Q1_Paeds,9,11)</f>
        <v>11</v>
      </c>
      <c r="M13" s="205">
        <f t="shared" si="2"/>
        <v>1</v>
      </c>
      <c r="N13" s="206">
        <f>INDEX(Q1_Paeds,9,12)</f>
        <v>0</v>
      </c>
      <c r="O13" s="205">
        <f t="shared" si="3"/>
        <v>0</v>
      </c>
      <c r="P13" s="207">
        <f>INDEX(Q1_Paeds,9,13)</f>
        <v>11</v>
      </c>
      <c r="Q13" s="208">
        <f>INDEX(Q1_Paeds,9,15)</f>
        <v>2</v>
      </c>
      <c r="R13" s="205">
        <f t="shared" si="4"/>
        <v>6.0606060606060608E-2</v>
      </c>
      <c r="S13" s="206">
        <f>INDEX(Q1_Paeds,9,16)</f>
        <v>8</v>
      </c>
      <c r="T13" s="205">
        <f t="shared" si="5"/>
        <v>0.24242424242424243</v>
      </c>
      <c r="U13" s="426">
        <f>INDEX(Q1_Paeds,9,17)</f>
        <v>18</v>
      </c>
      <c r="V13" s="205">
        <f t="shared" si="6"/>
        <v>0.54545454545454541</v>
      </c>
      <c r="W13" s="206">
        <f>INDEX(Q1_Paeds,9,18)</f>
        <v>5</v>
      </c>
      <c r="X13" s="205">
        <f t="shared" si="7"/>
        <v>0.15151515151515152</v>
      </c>
      <c r="Y13" s="207">
        <f>INDEX(Q1_Paeds,9,19)</f>
        <v>33</v>
      </c>
      <c r="Z13" s="218">
        <f>INDEX(Q1_Paeds,9,21)</f>
        <v>0.28499999999999998</v>
      </c>
      <c r="AA13" s="219">
        <f>INDEX(Q1_Paeds,9,22)</f>
        <v>3.6999999999999998E-2</v>
      </c>
      <c r="AB13" s="420"/>
    </row>
    <row r="14" spans="1:28" s="8" customFormat="1" ht="21.75" customHeight="1" thickTop="1" thickBot="1" x14ac:dyDescent="0.35">
      <c r="A14" s="420"/>
      <c r="B14" s="450" t="s">
        <v>165</v>
      </c>
      <c r="C14" s="450" t="s">
        <v>23</v>
      </c>
      <c r="D14" s="451">
        <v>3</v>
      </c>
      <c r="E14" s="450" t="s">
        <v>22</v>
      </c>
      <c r="F14" s="213" t="str">
        <f>INDEX(Q1_Paeds,10,7)</f>
        <v>No data</v>
      </c>
      <c r="G14" s="220" t="str">
        <f>INDEX(Q1_Paeds,10,8)</f>
        <v>No data</v>
      </c>
      <c r="H14" s="210" t="str">
        <f>INDEX(Q1_Paeds,10,9)</f>
        <v>No data</v>
      </c>
      <c r="I14" s="200">
        <f t="shared" si="0"/>
        <v>0</v>
      </c>
      <c r="J14" s="201" t="str">
        <f>INDEX(Q1_Paeds,10,10)</f>
        <v>No data</v>
      </c>
      <c r="K14" s="200">
        <f t="shared" si="1"/>
        <v>0</v>
      </c>
      <c r="L14" s="201" t="str">
        <f>INDEX(Q1_Paeds,10,11)</f>
        <v>No data</v>
      </c>
      <c r="M14" s="200">
        <f t="shared" si="2"/>
        <v>0</v>
      </c>
      <c r="N14" s="201" t="str">
        <f>INDEX(Q1_Paeds,10,12)</f>
        <v>No data</v>
      </c>
      <c r="O14" s="200">
        <f t="shared" si="3"/>
        <v>0</v>
      </c>
      <c r="P14" s="202" t="str">
        <f>INDEX(Q1_Paeds,10,13)</f>
        <v>No data</v>
      </c>
      <c r="Q14" s="199" t="str">
        <f>INDEX(Q1_Paeds,10,15)</f>
        <v>No data</v>
      </c>
      <c r="R14" s="200">
        <f t="shared" si="4"/>
        <v>0</v>
      </c>
      <c r="S14" s="201" t="str">
        <f>INDEX(Q1_Paeds,10,16)</f>
        <v>No data</v>
      </c>
      <c r="T14" s="200">
        <f t="shared" si="5"/>
        <v>0</v>
      </c>
      <c r="U14" s="423" t="str">
        <f>INDEX(Q1_Paeds,10,17)</f>
        <v>No data</v>
      </c>
      <c r="V14" s="200">
        <f t="shared" si="6"/>
        <v>0</v>
      </c>
      <c r="W14" s="201" t="str">
        <f>INDEX(Q1_Paeds,10,18)</f>
        <v>No data</v>
      </c>
      <c r="X14" s="200">
        <f t="shared" si="7"/>
        <v>0</v>
      </c>
      <c r="Y14" s="202" t="str">
        <f>INDEX(Q1_Paeds,10,19)</f>
        <v>No data</v>
      </c>
      <c r="Z14" s="214" t="str">
        <f>INDEX(Q1_Paeds,10,21)</f>
        <v>No data</v>
      </c>
      <c r="AA14" s="215" t="str">
        <f>INDEX(Q1_Paeds,10,22)</f>
        <v>No data</v>
      </c>
      <c r="AB14" s="420"/>
    </row>
    <row r="15" spans="1:28" s="8" customFormat="1" ht="21.75" customHeight="1" thickTop="1" thickBot="1" x14ac:dyDescent="0.35">
      <c r="A15" s="420"/>
      <c r="B15" s="452" t="s">
        <v>166</v>
      </c>
      <c r="C15" s="452" t="s">
        <v>23</v>
      </c>
      <c r="D15" s="453">
        <v>3</v>
      </c>
      <c r="E15" s="452" t="s">
        <v>22</v>
      </c>
      <c r="F15" s="216">
        <f>INDEX(Q1_Paeds,11,7)</f>
        <v>11</v>
      </c>
      <c r="G15" s="217">
        <f>INDEX(Q1_Paeds,11,8)</f>
        <v>15</v>
      </c>
      <c r="H15" s="204">
        <f>INDEX(Q1_Paeds,11,9)</f>
        <v>2</v>
      </c>
      <c r="I15" s="205">
        <f t="shared" si="0"/>
        <v>1</v>
      </c>
      <c r="J15" s="206">
        <f>INDEX(Q1_Paeds,11,10)</f>
        <v>0</v>
      </c>
      <c r="K15" s="205">
        <f t="shared" si="1"/>
        <v>0</v>
      </c>
      <c r="L15" s="206">
        <f>INDEX(Q1_Paeds,11,11)</f>
        <v>0</v>
      </c>
      <c r="M15" s="205">
        <f t="shared" si="2"/>
        <v>0</v>
      </c>
      <c r="N15" s="206">
        <f>INDEX(Q1_Paeds,11,12)</f>
        <v>0</v>
      </c>
      <c r="O15" s="205">
        <f t="shared" si="3"/>
        <v>0</v>
      </c>
      <c r="P15" s="207">
        <f>INDEX(Q1_Paeds,11,13)</f>
        <v>2</v>
      </c>
      <c r="Q15" s="208">
        <f>INDEX(Q1_Paeds,11,15)</f>
        <v>11</v>
      </c>
      <c r="R15" s="205">
        <f t="shared" si="4"/>
        <v>0.28205128205128205</v>
      </c>
      <c r="S15" s="206">
        <f>INDEX(Q1_Paeds,11,16)</f>
        <v>11</v>
      </c>
      <c r="T15" s="205">
        <f t="shared" si="5"/>
        <v>0.28205128205128205</v>
      </c>
      <c r="U15" s="426">
        <f>INDEX(Q1_Paeds,11,17)</f>
        <v>17</v>
      </c>
      <c r="V15" s="205">
        <f t="shared" si="6"/>
        <v>0.4358974358974359</v>
      </c>
      <c r="W15" s="206">
        <f>INDEX(Q1_Paeds,11,18)</f>
        <v>0</v>
      </c>
      <c r="X15" s="205">
        <f t="shared" si="7"/>
        <v>0</v>
      </c>
      <c r="Y15" s="207">
        <f>INDEX(Q1_Paeds,11,19)</f>
        <v>39</v>
      </c>
      <c r="Z15" s="218">
        <f>INDEX(Q1_Paeds,11,21)</f>
        <v>0</v>
      </c>
      <c r="AA15" s="219">
        <f>INDEX(Q1_Paeds,11,22)</f>
        <v>0</v>
      </c>
      <c r="AB15" s="420"/>
    </row>
    <row r="16" spans="1:28" s="8" customFormat="1" ht="21.75" customHeight="1" thickTop="1" thickBot="1" x14ac:dyDescent="0.35">
      <c r="A16" s="420"/>
      <c r="B16" s="456" t="s">
        <v>162</v>
      </c>
      <c r="C16" s="456" t="s">
        <v>23</v>
      </c>
      <c r="D16" s="457">
        <v>3</v>
      </c>
      <c r="E16" s="456" t="s">
        <v>22</v>
      </c>
      <c r="F16" s="213">
        <f>INDEX(Q1_Paeds,12,7)</f>
        <v>8.48</v>
      </c>
      <c r="G16" s="220">
        <f>INDEX(Q1_Paeds,12,8)</f>
        <v>26.67</v>
      </c>
      <c r="H16" s="210">
        <f>INDEX(Q1_Paeds,12,9)</f>
        <v>34</v>
      </c>
      <c r="I16" s="200">
        <f t="shared" si="0"/>
        <v>0.73913043478260865</v>
      </c>
      <c r="J16" s="201">
        <f>INDEX(Q1_Paeds,12,10)</f>
        <v>12</v>
      </c>
      <c r="K16" s="200">
        <f t="shared" si="1"/>
        <v>0.2608695652173913</v>
      </c>
      <c r="L16" s="201" t="str">
        <f>INDEX(Q1_Paeds,12,11)</f>
        <v xml:space="preserve"> </v>
      </c>
      <c r="M16" s="200">
        <f t="shared" si="2"/>
        <v>0</v>
      </c>
      <c r="N16" s="201">
        <f>INDEX(Q1_Paeds,12,12)</f>
        <v>0</v>
      </c>
      <c r="O16" s="200">
        <f t="shared" si="3"/>
        <v>0</v>
      </c>
      <c r="P16" s="202">
        <f>INDEX(Q1_Paeds,12,13)</f>
        <v>46</v>
      </c>
      <c r="Q16" s="199">
        <f>INDEX(Q1_Paeds,12,15)</f>
        <v>32</v>
      </c>
      <c r="R16" s="200">
        <f t="shared" si="4"/>
        <v>0.26446280991735538</v>
      </c>
      <c r="S16" s="201">
        <f>INDEX(Q1_Paeds,12,16)</f>
        <v>70</v>
      </c>
      <c r="T16" s="200">
        <f t="shared" si="5"/>
        <v>0.57851239669421484</v>
      </c>
      <c r="U16" s="423">
        <f>INDEX(Q1_Paeds,12,17)</f>
        <v>19</v>
      </c>
      <c r="V16" s="200">
        <f t="shared" si="6"/>
        <v>0.15702479338842976</v>
      </c>
      <c r="W16" s="201">
        <f>INDEX(Q1_Paeds,12,18)</f>
        <v>0</v>
      </c>
      <c r="X16" s="200">
        <f t="shared" si="7"/>
        <v>0</v>
      </c>
      <c r="Y16" s="202">
        <f>INDEX(Q1_Paeds,12,19)</f>
        <v>121</v>
      </c>
      <c r="Z16" s="214">
        <f>INDEX(Q1_Paeds,12,21)</f>
        <v>3.49E-2</v>
      </c>
      <c r="AA16" s="215">
        <f>INDEX(Q1_Paeds,12,22)</f>
        <v>0</v>
      </c>
      <c r="AB16" s="420"/>
    </row>
    <row r="17" spans="1:28" s="8" customFormat="1" ht="21.75" customHeight="1" thickTop="1" thickBot="1" x14ac:dyDescent="0.35">
      <c r="A17" s="420"/>
      <c r="B17" s="452" t="s">
        <v>58</v>
      </c>
      <c r="C17" s="452" t="s">
        <v>23</v>
      </c>
      <c r="D17" s="453">
        <v>3</v>
      </c>
      <c r="E17" s="452" t="s">
        <v>21</v>
      </c>
      <c r="F17" s="216" t="str">
        <f>INDEX(Q1_Paeds,13,7)</f>
        <v>No data</v>
      </c>
      <c r="G17" s="217" t="str">
        <f>INDEX(Q1_Paeds,13,8)</f>
        <v>No data</v>
      </c>
      <c r="H17" s="204" t="str">
        <f>INDEX(Q1_Paeds,13,9)</f>
        <v>No data</v>
      </c>
      <c r="I17" s="205">
        <f t="shared" si="0"/>
        <v>0</v>
      </c>
      <c r="J17" s="206" t="str">
        <f>INDEX(Q1_Paeds,13,10)</f>
        <v>No data</v>
      </c>
      <c r="K17" s="205">
        <f t="shared" si="1"/>
        <v>0</v>
      </c>
      <c r="L17" s="206" t="str">
        <f>INDEX(Q1_Paeds,13,11)</f>
        <v>No data</v>
      </c>
      <c r="M17" s="205">
        <f t="shared" si="2"/>
        <v>0</v>
      </c>
      <c r="N17" s="206" t="str">
        <f>INDEX(Q1_Paeds,13,12)</f>
        <v>No data</v>
      </c>
      <c r="O17" s="205">
        <f t="shared" si="3"/>
        <v>0</v>
      </c>
      <c r="P17" s="207" t="str">
        <f>INDEX(Q1_Paeds,13,13)</f>
        <v>No data</v>
      </c>
      <c r="Q17" s="208" t="str">
        <f>INDEX(Q1_Paeds,13,15)</f>
        <v>No data</v>
      </c>
      <c r="R17" s="205">
        <f t="shared" si="4"/>
        <v>0</v>
      </c>
      <c r="S17" s="206" t="str">
        <f>INDEX(Q1_Paeds,13,16)</f>
        <v>No data</v>
      </c>
      <c r="T17" s="205">
        <f t="shared" si="5"/>
        <v>0</v>
      </c>
      <c r="U17" s="426" t="str">
        <f>INDEX(Q1_Paeds,13,17)</f>
        <v>No data</v>
      </c>
      <c r="V17" s="205">
        <f t="shared" si="6"/>
        <v>0</v>
      </c>
      <c r="W17" s="206" t="str">
        <f>INDEX(Q1_Paeds,13,18)</f>
        <v>No data</v>
      </c>
      <c r="X17" s="205">
        <f t="shared" si="7"/>
        <v>0</v>
      </c>
      <c r="Y17" s="207" t="str">
        <f>INDEX(Q1_Paeds,13,19)</f>
        <v>No data</v>
      </c>
      <c r="Z17" s="218" t="str">
        <f>INDEX(Q1_Paeds,13,21)</f>
        <v>No data</v>
      </c>
      <c r="AA17" s="219" t="str">
        <f>INDEX(Q1_Paeds,13,22)</f>
        <v>No data</v>
      </c>
      <c r="AB17" s="420"/>
    </row>
    <row r="18" spans="1:28" s="8" customFormat="1" ht="21.75" customHeight="1" thickTop="1" thickBot="1" x14ac:dyDescent="0.35">
      <c r="A18" s="420"/>
      <c r="B18" s="450" t="s">
        <v>59</v>
      </c>
      <c r="C18" s="450" t="s">
        <v>23</v>
      </c>
      <c r="D18" s="451">
        <v>3</v>
      </c>
      <c r="E18" s="450" t="s">
        <v>21</v>
      </c>
      <c r="F18" s="213">
        <f>INDEX(Q1_Paeds,14,7)</f>
        <v>28</v>
      </c>
      <c r="G18" s="220">
        <f>INDEX(Q1_Paeds,14,8)</f>
        <v>8</v>
      </c>
      <c r="H18" s="210">
        <f>INDEX(Q1_Paeds,14,9)</f>
        <v>9</v>
      </c>
      <c r="I18" s="200">
        <f t="shared" si="0"/>
        <v>0.69230769230769229</v>
      </c>
      <c r="J18" s="201">
        <f>INDEX(Q1_Paeds,14,10)</f>
        <v>4</v>
      </c>
      <c r="K18" s="200">
        <f t="shared" si="1"/>
        <v>0.30769230769230771</v>
      </c>
      <c r="L18" s="201">
        <f>INDEX(Q1_Paeds,14,11)</f>
        <v>0</v>
      </c>
      <c r="M18" s="200">
        <f t="shared" si="2"/>
        <v>0</v>
      </c>
      <c r="N18" s="201">
        <f>INDEX(Q1_Paeds,14,12)</f>
        <v>0</v>
      </c>
      <c r="O18" s="200">
        <f t="shared" si="3"/>
        <v>0</v>
      </c>
      <c r="P18" s="202">
        <f>INDEX(Q1_Paeds,14,13)</f>
        <v>13</v>
      </c>
      <c r="Q18" s="199">
        <f>INDEX(Q1_Paeds,14,15)</f>
        <v>0</v>
      </c>
      <c r="R18" s="200">
        <f t="shared" si="4"/>
        <v>0</v>
      </c>
      <c r="S18" s="201">
        <f>INDEX(Q1_Paeds,14,16)</f>
        <v>1</v>
      </c>
      <c r="T18" s="200">
        <f t="shared" si="5"/>
        <v>1</v>
      </c>
      <c r="U18" s="423">
        <f>INDEX(Q1_Paeds,14,17)</f>
        <v>0</v>
      </c>
      <c r="V18" s="200">
        <f t="shared" si="6"/>
        <v>0</v>
      </c>
      <c r="W18" s="201">
        <f>INDEX(Q1_Paeds,14,18)</f>
        <v>0</v>
      </c>
      <c r="X18" s="200">
        <f t="shared" si="7"/>
        <v>0</v>
      </c>
      <c r="Y18" s="202">
        <f>INDEX(Q1_Paeds,14,19)</f>
        <v>1</v>
      </c>
      <c r="Z18" s="214">
        <f>INDEX(Q1_Paeds,14,21)</f>
        <v>0.04</v>
      </c>
      <c r="AA18" s="215">
        <f>INDEX(Q1_Paeds,14,22)</f>
        <v>0.04</v>
      </c>
      <c r="AB18" s="420"/>
    </row>
    <row r="19" spans="1:28" s="8" customFormat="1" ht="21.75" customHeight="1" thickTop="1" thickBot="1" x14ac:dyDescent="0.35">
      <c r="A19" s="420"/>
      <c r="B19" s="452" t="s">
        <v>60</v>
      </c>
      <c r="C19" s="452" t="s">
        <v>23</v>
      </c>
      <c r="D19" s="453">
        <v>3</v>
      </c>
      <c r="E19" s="452" t="s">
        <v>21</v>
      </c>
      <c r="F19" s="216">
        <f>INDEX(Q1_Paeds,16,7)</f>
        <v>15</v>
      </c>
      <c r="G19" s="217">
        <f>INDEX(Q1_Paeds,16,8)</f>
        <v>8</v>
      </c>
      <c r="H19" s="204">
        <f>INDEX(Q1_Paeds,16,9)</f>
        <v>39</v>
      </c>
      <c r="I19" s="205">
        <f t="shared" si="0"/>
        <v>0.23493975903614459</v>
      </c>
      <c r="J19" s="206">
        <f>INDEX(Q1_Paeds,16,10)</f>
        <v>50</v>
      </c>
      <c r="K19" s="205">
        <f t="shared" si="1"/>
        <v>0.30120481927710846</v>
      </c>
      <c r="L19" s="206">
        <f>INDEX(Q1_Paeds,16,11)</f>
        <v>66</v>
      </c>
      <c r="M19" s="205">
        <f t="shared" si="2"/>
        <v>0.39759036144578314</v>
      </c>
      <c r="N19" s="206">
        <f>INDEX(Q1_Paeds,16,12)</f>
        <v>11</v>
      </c>
      <c r="O19" s="205">
        <f t="shared" si="3"/>
        <v>6.6265060240963861E-2</v>
      </c>
      <c r="P19" s="207">
        <f>INDEX(Q1_Paeds,16,13)</f>
        <v>166</v>
      </c>
      <c r="Q19" s="208">
        <f>INDEX(Q1_Paeds,16,15)</f>
        <v>22</v>
      </c>
      <c r="R19" s="205">
        <f t="shared" si="4"/>
        <v>0.18965517241379309</v>
      </c>
      <c r="S19" s="206">
        <f>INDEX(Q1_Paeds,16,16)</f>
        <v>44</v>
      </c>
      <c r="T19" s="205">
        <f t="shared" si="5"/>
        <v>0.37931034482758619</v>
      </c>
      <c r="U19" s="426">
        <f>INDEX(Q1_Paeds,16,17)</f>
        <v>35</v>
      </c>
      <c r="V19" s="205">
        <f t="shared" si="6"/>
        <v>0.30172413793103448</v>
      </c>
      <c r="W19" s="206">
        <f>INDEX(Q1_Paeds,16,18)</f>
        <v>15</v>
      </c>
      <c r="X19" s="205">
        <f t="shared" si="7"/>
        <v>0.12931034482758622</v>
      </c>
      <c r="Y19" s="207">
        <f>INDEX(Q1_Paeds,16,19)</f>
        <v>116</v>
      </c>
      <c r="Z19" s="218">
        <f>INDEX(Q1_Paeds,16,21)</f>
        <v>0.06</v>
      </c>
      <c r="AA19" s="219">
        <f>INDEX(Q1_Paeds,16,22)</f>
        <v>0.03</v>
      </c>
      <c r="AB19" s="420"/>
    </row>
    <row r="20" spans="1:28" s="8" customFormat="1" ht="21.75" customHeight="1" thickTop="1" thickBot="1" x14ac:dyDescent="0.35">
      <c r="A20" s="420"/>
      <c r="B20" s="450" t="s">
        <v>56</v>
      </c>
      <c r="C20" s="450" t="s">
        <v>23</v>
      </c>
      <c r="D20" s="451">
        <v>3</v>
      </c>
      <c r="E20" s="450" t="s">
        <v>21</v>
      </c>
      <c r="F20" s="213">
        <f>INDEX(Q1_Paeds,17,7)</f>
        <v>10.9</v>
      </c>
      <c r="G20" s="220">
        <f>INDEX(Q1_Paeds,17,8)</f>
        <v>5.4</v>
      </c>
      <c r="H20" s="210">
        <f>INDEX(Q1_Paeds,17,9)</f>
        <v>51</v>
      </c>
      <c r="I20" s="200">
        <f t="shared" si="0"/>
        <v>0.16887417218543047</v>
      </c>
      <c r="J20" s="201">
        <f>INDEX(Q1_Paeds,17,10)</f>
        <v>43</v>
      </c>
      <c r="K20" s="200">
        <f t="shared" si="1"/>
        <v>0.14238410596026491</v>
      </c>
      <c r="L20" s="201">
        <f>INDEX(Q1_Paeds,17,11)</f>
        <v>68</v>
      </c>
      <c r="M20" s="200">
        <f t="shared" si="2"/>
        <v>0.2251655629139073</v>
      </c>
      <c r="N20" s="201">
        <f>INDEX(Q1_Paeds,17,12)</f>
        <v>140</v>
      </c>
      <c r="O20" s="200">
        <f t="shared" si="3"/>
        <v>0.46357615894039733</v>
      </c>
      <c r="P20" s="202">
        <f>INDEX(Q1_Paeds,17,13)</f>
        <v>302</v>
      </c>
      <c r="Q20" s="199">
        <f>INDEX(Q1_Paeds,17,15)</f>
        <v>15</v>
      </c>
      <c r="R20" s="200">
        <f t="shared" si="4"/>
        <v>0.14851485148514851</v>
      </c>
      <c r="S20" s="201">
        <f>INDEX(Q1_Paeds,17,16)</f>
        <v>14</v>
      </c>
      <c r="T20" s="200">
        <f t="shared" si="5"/>
        <v>0.13861386138613863</v>
      </c>
      <c r="U20" s="423">
        <f>INDEX(Q1_Paeds,17,17)</f>
        <v>30</v>
      </c>
      <c r="V20" s="200">
        <f t="shared" si="6"/>
        <v>0.29702970297029702</v>
      </c>
      <c r="W20" s="201">
        <f>INDEX(Q1_Paeds,17,18)</f>
        <v>42</v>
      </c>
      <c r="X20" s="200">
        <f t="shared" si="7"/>
        <v>0.41584158415841582</v>
      </c>
      <c r="Y20" s="202">
        <f>INDEX(Q1_Paeds,17,19)</f>
        <v>101</v>
      </c>
      <c r="Z20" s="214">
        <f>INDEX(Q1_Paeds,17,21)</f>
        <v>0.1091</v>
      </c>
      <c r="AA20" s="215">
        <f>INDEX(Q1_Paeds,17,22)</f>
        <v>0</v>
      </c>
      <c r="AB20" s="420"/>
    </row>
    <row r="21" spans="1:28" s="8" customFormat="1" ht="21.75" customHeight="1" thickTop="1" thickBot="1" x14ac:dyDescent="0.35">
      <c r="A21" s="420"/>
      <c r="B21" s="452" t="s">
        <v>61</v>
      </c>
      <c r="C21" s="452" t="s">
        <v>23</v>
      </c>
      <c r="D21" s="453">
        <v>3</v>
      </c>
      <c r="E21" s="452" t="s">
        <v>21</v>
      </c>
      <c r="F21" s="216" t="str">
        <f>INDEX(Q1_Paeds,18,7)</f>
        <v>No data</v>
      </c>
      <c r="G21" s="217" t="str">
        <f>INDEX(Q1_Paeds,18,8)</f>
        <v>No data</v>
      </c>
      <c r="H21" s="204" t="str">
        <f>INDEX(Q1_Paeds,18,9)</f>
        <v>No data</v>
      </c>
      <c r="I21" s="205">
        <f t="shared" si="0"/>
        <v>0</v>
      </c>
      <c r="J21" s="206" t="str">
        <f>INDEX(Q1_Paeds,18,10)</f>
        <v>No data</v>
      </c>
      <c r="K21" s="205">
        <f t="shared" si="1"/>
        <v>0</v>
      </c>
      <c r="L21" s="206" t="str">
        <f>INDEX(Q1_Paeds,18,11)</f>
        <v>No data</v>
      </c>
      <c r="M21" s="205">
        <f t="shared" si="2"/>
        <v>0</v>
      </c>
      <c r="N21" s="206" t="str">
        <f>INDEX(Q1_Paeds,18,12)</f>
        <v>No data</v>
      </c>
      <c r="O21" s="205">
        <f t="shared" si="3"/>
        <v>0</v>
      </c>
      <c r="P21" s="207" t="str">
        <f>INDEX(Q1_Paeds,18,13)</f>
        <v>No data</v>
      </c>
      <c r="Q21" s="208" t="str">
        <f>INDEX(Q1_Paeds,18,15)</f>
        <v>No data</v>
      </c>
      <c r="R21" s="205">
        <f t="shared" si="4"/>
        <v>0</v>
      </c>
      <c r="S21" s="206" t="str">
        <f>INDEX(Q1_Paeds,18,16)</f>
        <v>No data</v>
      </c>
      <c r="T21" s="205">
        <f t="shared" si="5"/>
        <v>0</v>
      </c>
      <c r="U21" s="426" t="str">
        <f>INDEX(Q1_Paeds,18,17)</f>
        <v>No data</v>
      </c>
      <c r="V21" s="205">
        <f t="shared" si="6"/>
        <v>0</v>
      </c>
      <c r="W21" s="206" t="str">
        <f>INDEX(Q1_Paeds,18,18)</f>
        <v>No data</v>
      </c>
      <c r="X21" s="205">
        <f t="shared" si="7"/>
        <v>0</v>
      </c>
      <c r="Y21" s="207" t="str">
        <f>INDEX(Q1_Paeds,18,19)</f>
        <v>No data</v>
      </c>
      <c r="Z21" s="218" t="str">
        <f>INDEX(Q1_Paeds,18,21)</f>
        <v>No data</v>
      </c>
      <c r="AA21" s="219" t="str">
        <f>INDEX(Q1_Paeds,18,22)</f>
        <v>No data</v>
      </c>
      <c r="AB21" s="420"/>
    </row>
    <row r="22" spans="1:28" s="8" customFormat="1" ht="21.75" customHeight="1" thickTop="1" thickBot="1" x14ac:dyDescent="0.35">
      <c r="A22" s="420"/>
      <c r="B22" s="456" t="s">
        <v>52</v>
      </c>
      <c r="C22" s="456" t="s">
        <v>23</v>
      </c>
      <c r="D22" s="457">
        <v>3</v>
      </c>
      <c r="E22" s="456" t="s">
        <v>21</v>
      </c>
      <c r="F22" s="213">
        <f>INDEX(Q1_Paeds,19,7)</f>
        <v>0</v>
      </c>
      <c r="G22" s="220">
        <f>INDEX(Q1_Paeds,19,8)</f>
        <v>0</v>
      </c>
      <c r="H22" s="210">
        <f>INDEX(Q1_Paeds,19,9)</f>
        <v>0</v>
      </c>
      <c r="I22" s="200">
        <f t="shared" si="0"/>
        <v>0</v>
      </c>
      <c r="J22" s="201">
        <f>INDEX(Q1_Paeds,19,10)</f>
        <v>0</v>
      </c>
      <c r="K22" s="200">
        <f t="shared" si="1"/>
        <v>0</v>
      </c>
      <c r="L22" s="201">
        <f>INDEX(Q1_Paeds,19,11)</f>
        <v>0</v>
      </c>
      <c r="M22" s="200">
        <f t="shared" si="2"/>
        <v>0</v>
      </c>
      <c r="N22" s="201">
        <f>INDEX(Q1_Paeds,19,12)</f>
        <v>0</v>
      </c>
      <c r="O22" s="200">
        <f t="shared" si="3"/>
        <v>0</v>
      </c>
      <c r="P22" s="202">
        <f>INDEX(Q1_Paeds,19,13)</f>
        <v>0</v>
      </c>
      <c r="Q22" s="199">
        <f>INDEX(Q1_Paeds,19,15)</f>
        <v>39</v>
      </c>
      <c r="R22" s="200">
        <f t="shared" si="4"/>
        <v>0.9285714285714286</v>
      </c>
      <c r="S22" s="201">
        <f>INDEX(Q1_Paeds,19,16)</f>
        <v>1</v>
      </c>
      <c r="T22" s="211">
        <f t="shared" si="5"/>
        <v>2.3809523809523808E-2</v>
      </c>
      <c r="U22" s="423">
        <f>INDEX(Q1_Paeds,19,17)</f>
        <v>2</v>
      </c>
      <c r="V22" s="200">
        <f t="shared" si="6"/>
        <v>4.7619047619047616E-2</v>
      </c>
      <c r="W22" s="201">
        <f>INDEX(Q1_Paeds,19,18)</f>
        <v>0</v>
      </c>
      <c r="X22" s="200">
        <f t="shared" si="7"/>
        <v>0</v>
      </c>
      <c r="Y22" s="202">
        <f>INDEX(Q1_Paeds,19,19)</f>
        <v>42</v>
      </c>
      <c r="Z22" s="214">
        <f>INDEX(Q1_Paeds,19,21)</f>
        <v>7.0000000000000007E-2</v>
      </c>
      <c r="AA22" s="215">
        <f>INDEX(Q1_Paeds,19,22)</f>
        <v>0.04</v>
      </c>
      <c r="AB22" s="420"/>
    </row>
    <row r="23" spans="1:28" s="8" customFormat="1" ht="21.75" customHeight="1" thickTop="1" thickBot="1" x14ac:dyDescent="0.35">
      <c r="A23" s="420"/>
      <c r="B23" s="458" t="s">
        <v>57</v>
      </c>
      <c r="C23" s="458" t="s">
        <v>23</v>
      </c>
      <c r="D23" s="459">
        <v>3</v>
      </c>
      <c r="E23" s="458" t="s">
        <v>21</v>
      </c>
      <c r="F23" s="216">
        <f>INDEX(Q1_Paeds,20,7)</f>
        <v>44</v>
      </c>
      <c r="G23" s="217">
        <f>INDEX(Q1_Paeds,20,8)</f>
        <v>44</v>
      </c>
      <c r="H23" s="208">
        <f>INDEX(Q1_Paeds,20,9)</f>
        <v>40</v>
      </c>
      <c r="I23" s="205">
        <f t="shared" si="0"/>
        <v>0.7407407407407407</v>
      </c>
      <c r="J23" s="206">
        <f>INDEX(Q1_Paeds,20,10)</f>
        <v>14</v>
      </c>
      <c r="K23" s="205">
        <f t="shared" si="1"/>
        <v>0.25925925925925924</v>
      </c>
      <c r="L23" s="206">
        <f>INDEX(Q1_Paeds,20,11)</f>
        <v>0</v>
      </c>
      <c r="M23" s="205">
        <f t="shared" si="2"/>
        <v>0</v>
      </c>
      <c r="N23" s="206">
        <f>INDEX(Q1_Paeds,20,12)</f>
        <v>0</v>
      </c>
      <c r="O23" s="205">
        <f t="shared" si="3"/>
        <v>0</v>
      </c>
      <c r="P23" s="207">
        <f>INDEX(Q1_Paeds,20,13)</f>
        <v>54</v>
      </c>
      <c r="Q23" s="208">
        <f>INDEX(Q1_Paeds,20,15)</f>
        <v>16</v>
      </c>
      <c r="R23" s="205">
        <f t="shared" si="4"/>
        <v>0.16842105263157894</v>
      </c>
      <c r="S23" s="206">
        <f>INDEX(Q1_Paeds,20,16)</f>
        <v>28</v>
      </c>
      <c r="T23" s="205">
        <f t="shared" si="5"/>
        <v>0.29473684210526313</v>
      </c>
      <c r="U23" s="460">
        <f>INDEX(Q1_Paeds,20,17)</f>
        <v>37</v>
      </c>
      <c r="V23" s="205">
        <f t="shared" si="6"/>
        <v>0.38947368421052631</v>
      </c>
      <c r="W23" s="206">
        <f>INDEX(Q1_Paeds,20,18)</f>
        <v>14</v>
      </c>
      <c r="X23" s="205">
        <f t="shared" si="7"/>
        <v>0.14736842105263157</v>
      </c>
      <c r="Y23" s="207">
        <f>INDEX(Q1_Paeds,20,19)</f>
        <v>95</v>
      </c>
      <c r="Z23" s="218">
        <f>INDEX(Q1_Paeds,20,21)</f>
        <v>0.15</v>
      </c>
      <c r="AA23" s="219">
        <f>INDEX(Q1_Paeds,20,22)</f>
        <v>0.02</v>
      </c>
      <c r="AB23" s="420"/>
    </row>
    <row r="24" spans="1:28" s="8" customFormat="1" ht="21.75" customHeight="1" thickTop="1" thickBot="1" x14ac:dyDescent="0.35">
      <c r="A24" s="420"/>
      <c r="B24" s="461" t="s">
        <v>54</v>
      </c>
      <c r="C24" s="461" t="s">
        <v>23</v>
      </c>
      <c r="D24" s="462">
        <v>3</v>
      </c>
      <c r="E24" s="461" t="s">
        <v>21</v>
      </c>
      <c r="F24" s="213">
        <f>INDEX(Q1_Paeds,21,7)</f>
        <v>4</v>
      </c>
      <c r="G24" s="220">
        <f>INDEX(Q1_Paeds,21,8)</f>
        <v>4</v>
      </c>
      <c r="H24" s="199">
        <f>INDEX(Q1_Paeds,21,9)</f>
        <v>28</v>
      </c>
      <c r="I24" s="200">
        <f t="shared" si="0"/>
        <v>0.24347826086956523</v>
      </c>
      <c r="J24" s="201">
        <f>INDEX(Q1_Paeds,21,10)</f>
        <v>66</v>
      </c>
      <c r="K24" s="200">
        <f t="shared" si="1"/>
        <v>0.57391304347826089</v>
      </c>
      <c r="L24" s="201">
        <f>INDEX(Q1_Paeds,21,11)</f>
        <v>20</v>
      </c>
      <c r="M24" s="200">
        <f t="shared" si="2"/>
        <v>0.17391304347826086</v>
      </c>
      <c r="N24" s="201">
        <f>INDEX(Q1_Paeds,21,12)</f>
        <v>1</v>
      </c>
      <c r="O24" s="200">
        <f t="shared" si="3"/>
        <v>8.6956521739130436E-3</v>
      </c>
      <c r="P24" s="202">
        <f>INDEX(Q1_Paeds,21,13)</f>
        <v>115</v>
      </c>
      <c r="Q24" s="199">
        <f>INDEX(Q1_Paeds,21,15)</f>
        <v>25</v>
      </c>
      <c r="R24" s="200">
        <f t="shared" si="4"/>
        <v>0.17123287671232876</v>
      </c>
      <c r="S24" s="201">
        <f>INDEX(Q1_Paeds,21,16)</f>
        <v>30</v>
      </c>
      <c r="T24" s="200">
        <f t="shared" si="5"/>
        <v>0.20547945205479451</v>
      </c>
      <c r="U24" s="423">
        <f>INDEX(Q1_Paeds,21,17)</f>
        <v>72</v>
      </c>
      <c r="V24" s="200">
        <f t="shared" si="6"/>
        <v>0.49315068493150682</v>
      </c>
      <c r="W24" s="201">
        <f>INDEX(Q1_Paeds,21,18)</f>
        <v>19</v>
      </c>
      <c r="X24" s="200">
        <f t="shared" si="7"/>
        <v>0.13013698630136986</v>
      </c>
      <c r="Y24" s="202">
        <f>INDEX(Q1_Paeds,21,19)</f>
        <v>146</v>
      </c>
      <c r="Z24" s="214">
        <f>INDEX(Q1_Paeds,21,21)</f>
        <v>0.03</v>
      </c>
      <c r="AA24" s="215">
        <f>INDEX(Q1_Paeds,21,22)</f>
        <v>0</v>
      </c>
      <c r="AB24" s="420"/>
    </row>
    <row r="25" spans="1:28" s="8" customFormat="1" ht="21.75" customHeight="1" thickTop="1" thickBot="1" x14ac:dyDescent="0.35">
      <c r="A25" s="420"/>
      <c r="B25" s="454" t="s">
        <v>62</v>
      </c>
      <c r="C25" s="454" t="s">
        <v>23</v>
      </c>
      <c r="D25" s="455">
        <v>3</v>
      </c>
      <c r="E25" s="454" t="s">
        <v>21</v>
      </c>
      <c r="F25" s="216" t="str">
        <f>INDEX(Q1_Paeds,22,7)</f>
        <v>No data</v>
      </c>
      <c r="G25" s="217" t="str">
        <f>INDEX(Q1_Paeds,22,8)</f>
        <v>No data</v>
      </c>
      <c r="H25" s="208" t="str">
        <f>INDEX(Q1_Paeds,22,9)</f>
        <v>No data</v>
      </c>
      <c r="I25" s="205">
        <f t="shared" si="0"/>
        <v>0</v>
      </c>
      <c r="J25" s="206" t="str">
        <f>INDEX(Q1_Paeds,22,10)</f>
        <v>No data</v>
      </c>
      <c r="K25" s="205">
        <f t="shared" si="1"/>
        <v>0</v>
      </c>
      <c r="L25" s="206" t="str">
        <f>INDEX(Q1_Paeds,22,11)</f>
        <v>No data</v>
      </c>
      <c r="M25" s="205">
        <f t="shared" si="2"/>
        <v>0</v>
      </c>
      <c r="N25" s="206" t="str">
        <f>INDEX(Q1_Paeds,22,12)</f>
        <v>No data</v>
      </c>
      <c r="O25" s="205">
        <f t="shared" si="3"/>
        <v>0</v>
      </c>
      <c r="P25" s="207" t="str">
        <f>INDEX(Q1_Paeds,22,13)</f>
        <v>No data</v>
      </c>
      <c r="Q25" s="208" t="str">
        <f>INDEX(Q1_Paeds,22,15)</f>
        <v>No data</v>
      </c>
      <c r="R25" s="205">
        <f t="shared" si="4"/>
        <v>0</v>
      </c>
      <c r="S25" s="206" t="str">
        <f>INDEX(Q1_Paeds,22,16)</f>
        <v>No data</v>
      </c>
      <c r="T25" s="205">
        <f t="shared" si="5"/>
        <v>0</v>
      </c>
      <c r="U25" s="460" t="str">
        <f>INDEX(Q1_Paeds,22,17)</f>
        <v>No data</v>
      </c>
      <c r="V25" s="205">
        <f t="shared" si="6"/>
        <v>0</v>
      </c>
      <c r="W25" s="206" t="str">
        <f>INDEX(Q1_Paeds,22,18)</f>
        <v>No data</v>
      </c>
      <c r="X25" s="205">
        <f t="shared" si="7"/>
        <v>0</v>
      </c>
      <c r="Y25" s="207" t="str">
        <f>INDEX(Q1_Paeds,22,19)</f>
        <v>No data</v>
      </c>
      <c r="Z25" s="218" t="str">
        <f>INDEX(Q1_Paeds,22,21)</f>
        <v>No data</v>
      </c>
      <c r="AA25" s="219" t="str">
        <f>INDEX(Q1_Paeds,22,22)</f>
        <v>No data</v>
      </c>
      <c r="AB25" s="420"/>
    </row>
    <row r="26" spans="1:28" ht="15" thickTop="1" x14ac:dyDescent="0.3">
      <c r="B26" s="16"/>
      <c r="C26" s="16"/>
      <c r="D26" s="16"/>
      <c r="E26" s="16"/>
      <c r="F26" s="15"/>
      <c r="G26" s="15"/>
      <c r="H26" s="119"/>
      <c r="I26" s="15"/>
      <c r="J26" s="119"/>
      <c r="K26" s="15"/>
      <c r="L26" s="119"/>
      <c r="M26" s="15"/>
      <c r="N26" s="119"/>
      <c r="O26" s="15"/>
      <c r="P26" s="15"/>
      <c r="Q26" s="119"/>
      <c r="R26" s="15"/>
      <c r="S26" s="119"/>
      <c r="T26" s="15"/>
      <c r="U26" s="119"/>
      <c r="V26" s="15"/>
      <c r="W26" s="119"/>
      <c r="X26" s="15"/>
      <c r="Y26" s="15"/>
      <c r="Z26" s="15"/>
      <c r="AA26" s="15"/>
    </row>
    <row r="27" spans="1:28" ht="15" thickBot="1" x14ac:dyDescent="0.35">
      <c r="B27" s="16"/>
      <c r="C27" s="16"/>
      <c r="D27" s="16"/>
      <c r="E27" s="16"/>
      <c r="F27" s="15"/>
      <c r="G27" s="15"/>
      <c r="H27" s="119"/>
      <c r="I27" s="15"/>
      <c r="J27" s="119"/>
      <c r="K27" s="15"/>
      <c r="L27" s="119"/>
      <c r="M27" s="15"/>
      <c r="N27" s="119"/>
      <c r="O27" s="15"/>
      <c r="P27" s="15"/>
      <c r="Q27" s="119"/>
      <c r="R27" s="15"/>
      <c r="S27" s="119"/>
      <c r="T27" s="15"/>
      <c r="U27" s="119"/>
      <c r="V27" s="15"/>
      <c r="W27" s="119"/>
      <c r="X27" s="15"/>
      <c r="Y27" s="15"/>
      <c r="Z27" s="15"/>
      <c r="AA27" s="15"/>
    </row>
    <row r="28" spans="1:28" ht="14.4" x14ac:dyDescent="0.3">
      <c r="B28" s="299" t="s">
        <v>86</v>
      </c>
      <c r="C28" s="428" t="s">
        <v>87</v>
      </c>
      <c r="D28" s="429"/>
      <c r="E28" s="430"/>
      <c r="F28" s="309" t="s">
        <v>78</v>
      </c>
      <c r="G28" s="310"/>
      <c r="H28" s="311"/>
      <c r="I28" s="312"/>
      <c r="J28" s="315" t="s">
        <v>84</v>
      </c>
      <c r="K28" s="316"/>
      <c r="L28" s="319" t="s">
        <v>84</v>
      </c>
      <c r="M28" s="320"/>
      <c r="N28" s="323" t="s">
        <v>84</v>
      </c>
      <c r="O28" s="324"/>
      <c r="P28" s="277"/>
      <c r="Q28" s="311"/>
      <c r="R28" s="312"/>
      <c r="S28" s="315" t="s">
        <v>84</v>
      </c>
      <c r="T28" s="316"/>
      <c r="U28" s="319" t="s">
        <v>84</v>
      </c>
      <c r="V28" s="320"/>
      <c r="W28" s="323" t="s">
        <v>84</v>
      </c>
      <c r="X28" s="324"/>
      <c r="Y28" s="128"/>
      <c r="Z28" s="335" t="s">
        <v>81</v>
      </c>
      <c r="AA28" s="310"/>
    </row>
    <row r="29" spans="1:28" ht="14.4" x14ac:dyDescent="0.3">
      <c r="B29" s="299"/>
      <c r="C29" s="431"/>
      <c r="D29" s="432"/>
      <c r="E29" s="433"/>
      <c r="F29" s="434" t="s">
        <v>79</v>
      </c>
      <c r="G29" s="435"/>
      <c r="H29" s="313"/>
      <c r="I29" s="314"/>
      <c r="J29" s="317"/>
      <c r="K29" s="318"/>
      <c r="L29" s="321"/>
      <c r="M29" s="322"/>
      <c r="N29" s="325"/>
      <c r="O29" s="326"/>
      <c r="P29" s="278"/>
      <c r="Q29" s="313"/>
      <c r="R29" s="314"/>
      <c r="S29" s="317"/>
      <c r="T29" s="318"/>
      <c r="U29" s="321"/>
      <c r="V29" s="322"/>
      <c r="W29" s="325"/>
      <c r="X29" s="326"/>
      <c r="Y29" s="129"/>
      <c r="Z29" s="436" t="s">
        <v>82</v>
      </c>
      <c r="AA29" s="435"/>
    </row>
    <row r="30" spans="1:28" ht="15" thickBot="1" x14ac:dyDescent="0.35">
      <c r="B30" s="299"/>
      <c r="C30" s="437"/>
      <c r="D30" s="438"/>
      <c r="E30" s="439"/>
      <c r="F30" s="440" t="s">
        <v>80</v>
      </c>
      <c r="G30" s="441"/>
      <c r="H30" s="442"/>
      <c r="I30" s="443"/>
      <c r="J30" s="444" t="s">
        <v>85</v>
      </c>
      <c r="K30" s="443"/>
      <c r="L30" s="444" t="s">
        <v>85</v>
      </c>
      <c r="M30" s="443"/>
      <c r="N30" s="444" t="s">
        <v>85</v>
      </c>
      <c r="O30" s="443"/>
      <c r="P30" s="445"/>
      <c r="Q30" s="442"/>
      <c r="R30" s="443"/>
      <c r="S30" s="444" t="s">
        <v>85</v>
      </c>
      <c r="T30" s="443"/>
      <c r="U30" s="444" t="s">
        <v>85</v>
      </c>
      <c r="V30" s="443"/>
      <c r="W30" s="444" t="s">
        <v>85</v>
      </c>
      <c r="X30" s="443"/>
      <c r="Y30" s="446"/>
      <c r="Z30" s="447" t="s">
        <v>83</v>
      </c>
      <c r="AA30" s="441"/>
    </row>
    <row r="31" spans="1:28" ht="14.4" x14ac:dyDescent="0.3">
      <c r="B31" s="17"/>
      <c r="C31" s="17"/>
      <c r="D31" s="17"/>
      <c r="E31" s="17"/>
      <c r="F31" s="18"/>
      <c r="G31" s="18"/>
      <c r="H31" s="120"/>
      <c r="I31" s="18"/>
      <c r="J31" s="120"/>
      <c r="K31" s="18"/>
      <c r="L31" s="120"/>
      <c r="M31" s="18"/>
      <c r="N31" s="120"/>
      <c r="O31" s="18"/>
      <c r="P31" s="18"/>
      <c r="Q31" s="120"/>
      <c r="R31" s="18"/>
      <c r="S31" s="120"/>
      <c r="T31" s="18"/>
      <c r="U31" s="120"/>
      <c r="V31" s="18"/>
      <c r="W31" s="120"/>
      <c r="X31" s="18"/>
      <c r="Y31" s="18"/>
      <c r="Z31" s="18"/>
      <c r="AA31" s="19"/>
    </row>
    <row r="32" spans="1:28" ht="14.4" x14ac:dyDescent="0.3">
      <c r="B32" s="15"/>
      <c r="C32" s="15"/>
      <c r="D32" s="15"/>
      <c r="E32" s="15"/>
      <c r="F32" s="20">
        <v>10</v>
      </c>
      <c r="G32" s="20">
        <v>10</v>
      </c>
      <c r="H32" s="121">
        <v>10</v>
      </c>
      <c r="I32" s="20"/>
      <c r="J32" s="121">
        <v>10</v>
      </c>
      <c r="K32" s="20">
        <v>10</v>
      </c>
      <c r="L32" s="121">
        <v>10</v>
      </c>
      <c r="M32" s="20"/>
      <c r="N32" s="121"/>
      <c r="O32" s="20"/>
      <c r="P32" s="20"/>
      <c r="Q32" s="121"/>
      <c r="R32" s="20"/>
      <c r="S32" s="121"/>
      <c r="T32" s="20"/>
      <c r="U32" s="121"/>
      <c r="V32" s="20"/>
      <c r="W32" s="121"/>
      <c r="X32" s="20"/>
      <c r="Y32" s="20"/>
      <c r="Z32" s="20"/>
      <c r="AA32" s="15"/>
    </row>
    <row r="33" spans="2:27" ht="14.4" x14ac:dyDescent="0.3">
      <c r="B33" s="16" t="s">
        <v>15</v>
      </c>
      <c r="C33" s="16"/>
      <c r="D33" s="16"/>
      <c r="E33" s="16"/>
      <c r="F33" s="21"/>
      <c r="G33" s="15"/>
      <c r="H33" s="119"/>
      <c r="I33" s="15"/>
      <c r="J33" s="119"/>
      <c r="K33" s="15"/>
      <c r="L33" s="119"/>
      <c r="M33" s="15"/>
      <c r="N33" s="119"/>
      <c r="O33" s="15"/>
      <c r="P33" s="15"/>
      <c r="Q33" s="119"/>
      <c r="R33" s="15"/>
      <c r="S33" s="119"/>
      <c r="T33" s="15"/>
      <c r="U33" s="119"/>
      <c r="V33" s="15"/>
      <c r="W33" s="119"/>
      <c r="X33" s="15"/>
      <c r="Y33" s="15"/>
      <c r="Z33" s="15"/>
      <c r="AA33" s="15"/>
    </row>
    <row r="34" spans="2:27" ht="14.4" x14ac:dyDescent="0.3">
      <c r="B34" s="22" t="s">
        <v>16</v>
      </c>
      <c r="C34" s="22"/>
      <c r="D34" s="22"/>
      <c r="E34" s="22"/>
      <c r="F34" s="15"/>
      <c r="G34" s="15"/>
      <c r="H34" s="119"/>
      <c r="I34" s="15"/>
      <c r="J34" s="119"/>
      <c r="K34" s="15"/>
      <c r="L34" s="119"/>
      <c r="M34" s="15"/>
      <c r="N34" s="119"/>
      <c r="O34" s="15"/>
      <c r="P34" s="15"/>
      <c r="Q34" s="119"/>
      <c r="R34" s="15"/>
      <c r="S34" s="119"/>
      <c r="T34" s="15"/>
      <c r="U34" s="119"/>
      <c r="V34" s="15"/>
      <c r="W34" s="119"/>
      <c r="X34" s="15"/>
      <c r="Y34" s="15"/>
      <c r="Z34" s="15"/>
      <c r="AA34" s="15"/>
    </row>
    <row r="35" spans="2:27" ht="14.4" x14ac:dyDescent="0.3">
      <c r="B35" s="23"/>
      <c r="C35" s="23"/>
      <c r="D35" s="23"/>
      <c r="E35" s="23"/>
      <c r="F35" s="15"/>
      <c r="G35" s="15"/>
      <c r="H35" s="119"/>
      <c r="I35" s="15"/>
      <c r="J35" s="119"/>
      <c r="K35" s="15"/>
      <c r="L35" s="119"/>
      <c r="M35" s="15"/>
      <c r="N35" s="119"/>
      <c r="O35" s="15"/>
      <c r="P35" s="15"/>
      <c r="Q35" s="119"/>
      <c r="R35" s="15"/>
      <c r="S35" s="119"/>
      <c r="T35" s="15"/>
      <c r="U35" s="119"/>
      <c r="V35" s="15"/>
      <c r="W35" s="119"/>
      <c r="X35" s="15"/>
      <c r="Y35" s="15"/>
      <c r="Z35" s="15"/>
      <c r="AA35" s="15"/>
    </row>
    <row r="36" spans="2:27" ht="14.4" x14ac:dyDescent="0.3"/>
    <row r="37" spans="2:27" ht="14.4" x14ac:dyDescent="0.3"/>
    <row r="38" spans="2:27" ht="14.4" hidden="1" x14ac:dyDescent="0.3"/>
    <row r="39" spans="2:27" ht="14.4" hidden="1" x14ac:dyDescent="0.3"/>
    <row r="40" spans="2:27" ht="14.4" hidden="1" x14ac:dyDescent="0.3"/>
    <row r="41" spans="2:27" ht="14.4" hidden="1" x14ac:dyDescent="0.3"/>
    <row r="42" spans="2:27" ht="14.4" hidden="1" x14ac:dyDescent="0.3"/>
    <row r="43" spans="2:27" ht="14.4" hidden="1" x14ac:dyDescent="0.3"/>
    <row r="44" spans="2:27" ht="14.4" hidden="1" x14ac:dyDescent="0.3"/>
    <row r="45" spans="2:27" ht="14.4" hidden="1" x14ac:dyDescent="0.3"/>
    <row r="46" spans="2:27" ht="14.4" hidden="1" x14ac:dyDescent="0.3"/>
    <row r="47" spans="2:27" ht="14.4" hidden="1" x14ac:dyDescent="0.3"/>
    <row r="48" spans="2:27" ht="14.4" hidden="1" x14ac:dyDescent="0.3"/>
    <row r="49" ht="14.4" hidden="1" x14ac:dyDescent="0.3"/>
    <row r="50" ht="14.4" hidden="1" x14ac:dyDescent="0.3"/>
    <row r="51" ht="14.4" hidden="1" x14ac:dyDescent="0.3"/>
    <row r="52" ht="14.4" hidden="1" x14ac:dyDescent="0.3"/>
    <row r="53" ht="14.4" hidden="1" x14ac:dyDescent="0.3"/>
    <row r="54" ht="14.4" hidden="1" x14ac:dyDescent="0.3"/>
    <row r="55" ht="14.4" hidden="1" x14ac:dyDescent="0.3"/>
    <row r="56" ht="14.4" hidden="1" x14ac:dyDescent="0.3"/>
    <row r="57" ht="14.4" hidden="1" x14ac:dyDescent="0.3"/>
    <row r="58" ht="14.4" hidden="1" x14ac:dyDescent="0.3"/>
    <row r="59" ht="14.4" hidden="1" x14ac:dyDescent="0.3"/>
    <row r="60" ht="14.4" hidden="1" x14ac:dyDescent="0.3"/>
    <row r="61" ht="14.4" hidden="1" x14ac:dyDescent="0.3"/>
    <row r="62" ht="14.4" hidden="1" x14ac:dyDescent="0.3"/>
  </sheetData>
  <sheetProtection algorithmName="SHA-512" hashValue="4ZXOHS46GJ+RwkDPBicGh7xwlSt7KGqhsKgMiesDiR0r4ZOkJGfh0tWcWlUqelV/0tqBI4vT87ph1R7nbLmPbA==" saltValue="CRckcFA1TN6Sd+H4LcZSTg==" spinCount="100000" sheet="1" objects="1" scenarios="1" selectLockedCells="1"/>
  <mergeCells count="45">
    <mergeCell ref="Z28:AA28"/>
    <mergeCell ref="F29:G29"/>
    <mergeCell ref="Z29:AA29"/>
    <mergeCell ref="Q30:R30"/>
    <mergeCell ref="S30:T30"/>
    <mergeCell ref="U30:V30"/>
    <mergeCell ref="W30:X30"/>
    <mergeCell ref="Z30:AA30"/>
    <mergeCell ref="J30:K30"/>
    <mergeCell ref="L30:M30"/>
    <mergeCell ref="N30:O30"/>
    <mergeCell ref="U28:V29"/>
    <mergeCell ref="W28:X29"/>
    <mergeCell ref="W7:X7"/>
    <mergeCell ref="B28:B30"/>
    <mergeCell ref="C28:E30"/>
    <mergeCell ref="F28:G28"/>
    <mergeCell ref="H28:I29"/>
    <mergeCell ref="J28:K29"/>
    <mergeCell ref="L28:M29"/>
    <mergeCell ref="N28:O29"/>
    <mergeCell ref="Q28:R29"/>
    <mergeCell ref="S28:T29"/>
    <mergeCell ref="B5:B7"/>
    <mergeCell ref="C5:C7"/>
    <mergeCell ref="D5:D7"/>
    <mergeCell ref="E5:E7"/>
    <mergeCell ref="F30:G30"/>
    <mergeCell ref="H30:I30"/>
    <mergeCell ref="Z5:AA5"/>
    <mergeCell ref="F6:F7"/>
    <mergeCell ref="G6:G7"/>
    <mergeCell ref="H6:P6"/>
    <mergeCell ref="Q6:Y6"/>
    <mergeCell ref="Z6:Z7"/>
    <mergeCell ref="AA6:AA7"/>
    <mergeCell ref="H7:I7"/>
    <mergeCell ref="J7:K7"/>
    <mergeCell ref="L7:M7"/>
    <mergeCell ref="F5:G5"/>
    <mergeCell ref="H5:Y5"/>
    <mergeCell ref="N7:O7"/>
    <mergeCell ref="Q7:R7"/>
    <mergeCell ref="S7:T7"/>
    <mergeCell ref="U7:V7"/>
  </mergeCells>
  <conditionalFormatting sqref="F8:G25">
    <cfRule type="containsText" dxfId="170" priority="11" operator="containsText" text="N/A">
      <formula>NOT(ISERROR(SEARCH("N/A",F8)))</formula>
    </cfRule>
    <cfRule type="cellIs" dxfId="169" priority="18" operator="between">
      <formula>0.01</formula>
      <formula>13</formula>
    </cfRule>
    <cfRule type="cellIs" dxfId="168" priority="19" operator="between">
      <formula>13</formula>
      <formula>18</formula>
    </cfRule>
    <cfRule type="cellIs" dxfId="167" priority="20" operator="greaterThan">
      <formula>18</formula>
    </cfRule>
    <cfRule type="cellIs" dxfId="166" priority="21" operator="greaterThan">
      <formula>18</formula>
    </cfRule>
  </conditionalFormatting>
  <conditionalFormatting sqref="K8:K25 T8:T25">
    <cfRule type="cellIs" dxfId="165" priority="17" operator="greaterThan">
      <formula>0.49</formula>
    </cfRule>
  </conditionalFormatting>
  <conditionalFormatting sqref="V8:V25 M8:M25">
    <cfRule type="cellIs" dxfId="164" priority="16" operator="greaterThan">
      <formula>0.49</formula>
    </cfRule>
  </conditionalFormatting>
  <conditionalFormatting sqref="O8:O25 X8:X25">
    <cfRule type="cellIs" dxfId="163" priority="15" operator="greaterThan">
      <formula>0.49</formula>
    </cfRule>
  </conditionalFormatting>
  <conditionalFormatting sqref="Z8:AA25">
    <cfRule type="cellIs" dxfId="162" priority="12" operator="between">
      <formula>0.0001</formula>
      <formula>0.1</formula>
    </cfRule>
    <cfRule type="cellIs" dxfId="161" priority="13" operator="between">
      <formula>0.1</formula>
      <formula>0.19</formula>
    </cfRule>
    <cfRule type="cellIs" dxfId="160" priority="14" operator="greaterThan">
      <formula>0.2</formula>
    </cfRule>
  </conditionalFormatting>
  <conditionalFormatting sqref="J8:J25">
    <cfRule type="expression" dxfId="159" priority="10">
      <formula>($J8/$P8*100)&gt;49.49</formula>
    </cfRule>
  </conditionalFormatting>
  <conditionalFormatting sqref="L8:L25">
    <cfRule type="expression" dxfId="158" priority="9">
      <formula>($L8/$P8*100)&gt;49.49</formula>
    </cfRule>
  </conditionalFormatting>
  <conditionalFormatting sqref="N8:N25">
    <cfRule type="expression" dxfId="157" priority="8">
      <formula>($N8/$P8*100)&gt;49.49</formula>
    </cfRule>
  </conditionalFormatting>
  <conditionalFormatting sqref="S8:S25">
    <cfRule type="expression" dxfId="156" priority="7">
      <formula>($S8/$Y8*100)&gt;49.49</formula>
    </cfRule>
  </conditionalFormatting>
  <conditionalFormatting sqref="U8:U25">
    <cfRule type="expression" dxfId="155" priority="6">
      <formula>($U8/$Y8*100)&gt;49.49</formula>
    </cfRule>
  </conditionalFormatting>
  <conditionalFormatting sqref="W8:W25">
    <cfRule type="expression" dxfId="154" priority="5">
      <formula>($W8/$Y8*100)&gt;49.49</formula>
    </cfRule>
  </conditionalFormatting>
  <conditionalFormatting sqref="L9">
    <cfRule type="expression" dxfId="153" priority="4">
      <formula>"$M$9=&gt;.499"</formula>
    </cfRule>
  </conditionalFormatting>
  <conditionalFormatting sqref="F8:AA25">
    <cfRule type="expression" dxfId="152" priority="1">
      <formula>$F8="No data"</formula>
    </cfRule>
  </conditionalFormatting>
  <hyperlinks>
    <hyperlink ref="C28:E30" location="Sheet1!A1" display="For more information on rag ratings please click here" xr:uid="{00000000-0004-0000-0300-000000000000}"/>
    <hyperlink ref="B3" location="'Front Page'!A1" display="Return to Contents" xr:uid="{00000000-0004-0000-0300-000001000000}"/>
  </hyperlink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456"/>
  <sheetViews>
    <sheetView showGridLines="0" zoomScale="70" zoomScaleNormal="70" workbookViewId="0">
      <selection activeCell="Y1" sqref="Y1:AA1"/>
    </sheetView>
  </sheetViews>
  <sheetFormatPr defaultColWidth="0" defaultRowHeight="14.4" customHeight="1" zeroHeight="1" x14ac:dyDescent="0.3"/>
  <cols>
    <col min="1" max="29" width="9.109375" style="33" customWidth="1"/>
    <col min="30" max="16384" width="9.109375" style="33" hidden="1"/>
  </cols>
  <sheetData>
    <row r="1" spans="1:29" s="10" customFormat="1" ht="35.25" customHeight="1" x14ac:dyDescent="0.3">
      <c r="A1" s="341" t="s">
        <v>96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  <c r="T1" s="341"/>
      <c r="U1" s="341"/>
      <c r="V1" s="341"/>
      <c r="W1" s="341"/>
      <c r="X1" s="341"/>
      <c r="Y1" s="466" t="s">
        <v>95</v>
      </c>
      <c r="Z1" s="466"/>
      <c r="AA1" s="466"/>
    </row>
    <row r="2" spans="1:29" s="79" customFormat="1" ht="30" customHeight="1" x14ac:dyDescent="0.3">
      <c r="A2" s="343" t="s">
        <v>193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343"/>
      <c r="X2" s="343"/>
      <c r="Y2" s="343"/>
      <c r="Z2" s="343"/>
      <c r="AA2" s="343"/>
      <c r="AB2" s="343"/>
      <c r="AC2" s="343"/>
    </row>
    <row r="3" spans="1:29" s="80" customFormat="1" ht="25.5" customHeight="1" x14ac:dyDescent="0.3">
      <c r="A3" s="463"/>
      <c r="B3" s="464" t="s">
        <v>106</v>
      </c>
      <c r="C3" s="463"/>
      <c r="D3" s="463"/>
      <c r="E3" s="463"/>
      <c r="F3" s="463"/>
      <c r="G3" s="463"/>
      <c r="H3" s="463"/>
      <c r="I3" s="463"/>
      <c r="J3" s="463"/>
      <c r="K3" s="463"/>
      <c r="L3" s="463"/>
      <c r="M3" s="463"/>
      <c r="N3" s="463"/>
      <c r="O3" s="463"/>
      <c r="P3" s="463"/>
      <c r="Q3" s="463"/>
      <c r="R3" s="463"/>
      <c r="S3" s="463"/>
      <c r="T3" s="463"/>
      <c r="U3" s="463"/>
      <c r="V3" s="463"/>
      <c r="W3" s="463"/>
      <c r="X3" s="463"/>
      <c r="Y3" s="463"/>
      <c r="Z3" s="463"/>
      <c r="AA3" s="463"/>
      <c r="AB3" s="463"/>
      <c r="AC3" s="463"/>
    </row>
    <row r="4" spans="1:29" s="12" customFormat="1" x14ac:dyDescent="0.3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</row>
    <row r="5" spans="1:29" s="12" customFormat="1" x14ac:dyDescent="0.3">
      <c r="A5" s="169"/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69"/>
    </row>
    <row r="6" spans="1:29" s="12" customFormat="1" x14ac:dyDescent="0.3">
      <c r="A6" s="169"/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69"/>
    </row>
    <row r="7" spans="1:29" s="12" customFormat="1" x14ac:dyDescent="0.3">
      <c r="A7" s="169"/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76"/>
      <c r="AC7" s="169"/>
    </row>
    <row r="8" spans="1:29" s="12" customFormat="1" x14ac:dyDescent="0.3">
      <c r="A8" s="169"/>
      <c r="B8" s="176"/>
      <c r="C8" s="176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69"/>
    </row>
    <row r="9" spans="1:29" s="12" customFormat="1" x14ac:dyDescent="0.3">
      <c r="A9" s="169"/>
      <c r="B9" s="176"/>
      <c r="C9" s="176"/>
      <c r="D9" s="176"/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76"/>
      <c r="V9" s="176"/>
      <c r="W9" s="176"/>
      <c r="X9" s="176"/>
      <c r="Y9" s="176"/>
      <c r="Z9" s="176"/>
      <c r="AA9" s="176"/>
      <c r="AB9" s="176"/>
      <c r="AC9" s="169"/>
    </row>
    <row r="10" spans="1:29" s="12" customFormat="1" x14ac:dyDescent="0.3">
      <c r="A10" s="169"/>
      <c r="B10" s="176"/>
      <c r="C10" s="176"/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N10" s="176"/>
      <c r="O10" s="176"/>
      <c r="P10" s="176"/>
      <c r="Q10" s="176"/>
      <c r="R10" s="176"/>
      <c r="S10" s="176"/>
      <c r="T10" s="176"/>
      <c r="U10" s="176"/>
      <c r="V10" s="176"/>
      <c r="W10" s="176"/>
      <c r="X10" s="176"/>
      <c r="Y10" s="176"/>
      <c r="Z10" s="176"/>
      <c r="AA10" s="176"/>
      <c r="AB10" s="176"/>
      <c r="AC10" s="169"/>
    </row>
    <row r="11" spans="1:29" s="12" customFormat="1" x14ac:dyDescent="0.3">
      <c r="A11" s="169"/>
      <c r="B11" s="176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  <c r="R11" s="176"/>
      <c r="S11" s="176"/>
      <c r="T11" s="176"/>
      <c r="U11" s="176"/>
      <c r="V11" s="176"/>
      <c r="W11" s="176"/>
      <c r="X11" s="176"/>
      <c r="Y11" s="176"/>
      <c r="Z11" s="176"/>
      <c r="AA11" s="176"/>
      <c r="AB11" s="176"/>
      <c r="AC11" s="169"/>
    </row>
    <row r="12" spans="1:29" s="12" customFormat="1" x14ac:dyDescent="0.3">
      <c r="A12" s="169"/>
      <c r="B12" s="176"/>
      <c r="C12" s="176"/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76"/>
      <c r="X12" s="176"/>
      <c r="Y12" s="176"/>
      <c r="Z12" s="176"/>
      <c r="AA12" s="176"/>
      <c r="AB12" s="176"/>
      <c r="AC12" s="169"/>
    </row>
    <row r="13" spans="1:29" s="12" customFormat="1" x14ac:dyDescent="0.3">
      <c r="A13" s="169"/>
      <c r="B13" s="176"/>
      <c r="C13" s="176"/>
      <c r="D13" s="176"/>
      <c r="E13" s="176"/>
      <c r="F13" s="176"/>
      <c r="G13" s="176"/>
      <c r="H13" s="176"/>
      <c r="I13" s="176"/>
      <c r="J13" s="176"/>
      <c r="K13" s="176"/>
      <c r="L13" s="176"/>
      <c r="M13" s="176"/>
      <c r="N13" s="176"/>
      <c r="O13" s="176"/>
      <c r="P13" s="176"/>
      <c r="Q13" s="176"/>
      <c r="R13" s="176"/>
      <c r="S13" s="176"/>
      <c r="T13" s="176"/>
      <c r="U13" s="176"/>
      <c r="V13" s="176"/>
      <c r="W13" s="176"/>
      <c r="X13" s="176"/>
      <c r="Y13" s="176"/>
      <c r="Z13" s="176"/>
      <c r="AA13" s="176"/>
      <c r="AB13" s="176"/>
      <c r="AC13" s="169"/>
    </row>
    <row r="14" spans="1:29" s="12" customFormat="1" x14ac:dyDescent="0.3">
      <c r="A14" s="169"/>
      <c r="B14" s="176"/>
      <c r="C14" s="176"/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176"/>
      <c r="AA14" s="176"/>
      <c r="AB14" s="176"/>
      <c r="AC14" s="169"/>
    </row>
    <row r="15" spans="1:29" s="12" customFormat="1" x14ac:dyDescent="0.3">
      <c r="A15" s="169"/>
      <c r="B15" s="176"/>
      <c r="C15" s="176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6"/>
      <c r="AA15" s="176"/>
      <c r="AB15" s="176"/>
      <c r="AC15" s="169"/>
    </row>
    <row r="16" spans="1:29" s="12" customFormat="1" x14ac:dyDescent="0.3">
      <c r="A16" s="169"/>
      <c r="B16" s="176"/>
      <c r="C16" s="176"/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6"/>
      <c r="V16" s="176"/>
      <c r="W16" s="176"/>
      <c r="X16" s="176"/>
      <c r="Y16" s="176"/>
      <c r="Z16" s="176"/>
      <c r="AA16" s="176"/>
      <c r="AB16" s="176"/>
      <c r="AC16" s="169"/>
    </row>
    <row r="17" spans="1:29" s="12" customFormat="1" x14ac:dyDescent="0.3">
      <c r="A17" s="169"/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6"/>
      <c r="AA17" s="176"/>
      <c r="AB17" s="176"/>
      <c r="AC17" s="169"/>
    </row>
    <row r="18" spans="1:29" s="12" customFormat="1" x14ac:dyDescent="0.3">
      <c r="A18" s="169"/>
      <c r="B18" s="176"/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69"/>
    </row>
    <row r="19" spans="1:29" s="12" customFormat="1" x14ac:dyDescent="0.3">
      <c r="A19" s="169"/>
      <c r="B19" s="176"/>
      <c r="C19" s="176"/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6"/>
      <c r="AC19" s="169"/>
    </row>
    <row r="20" spans="1:29" s="12" customFormat="1" x14ac:dyDescent="0.3">
      <c r="A20" s="169"/>
      <c r="B20" s="176"/>
      <c r="C20" s="176"/>
      <c r="D20" s="176"/>
      <c r="E20" s="176"/>
      <c r="F20" s="176"/>
      <c r="G20" s="176"/>
      <c r="H20" s="176"/>
      <c r="I20" s="176"/>
      <c r="J20" s="176"/>
      <c r="K20" s="176"/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76"/>
      <c r="AA20" s="176"/>
      <c r="AB20" s="176"/>
      <c r="AC20" s="169"/>
    </row>
    <row r="21" spans="1:29" s="12" customFormat="1" x14ac:dyDescent="0.3">
      <c r="A21" s="169"/>
      <c r="B21" s="176"/>
      <c r="C21" s="176"/>
      <c r="D21" s="176"/>
      <c r="E21" s="176"/>
      <c r="F21" s="176"/>
      <c r="G21" s="176"/>
      <c r="H21" s="176"/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6"/>
      <c r="V21" s="176"/>
      <c r="W21" s="176"/>
      <c r="X21" s="176"/>
      <c r="Y21" s="176"/>
      <c r="Z21" s="176"/>
      <c r="AA21" s="176"/>
      <c r="AB21" s="176"/>
      <c r="AC21" s="169"/>
    </row>
    <row r="22" spans="1:29" s="12" customFormat="1" x14ac:dyDescent="0.3">
      <c r="A22" s="169"/>
      <c r="B22" s="176"/>
      <c r="C22" s="176"/>
      <c r="D22" s="176"/>
      <c r="E22" s="176"/>
      <c r="F22" s="176"/>
      <c r="G22" s="176"/>
      <c r="H22" s="176"/>
      <c r="I22" s="176"/>
      <c r="J22" s="176"/>
      <c r="K22" s="176"/>
      <c r="L22" s="176"/>
      <c r="M22" s="176"/>
      <c r="N22" s="176"/>
      <c r="O22" s="176"/>
      <c r="P22" s="176"/>
      <c r="Q22" s="176"/>
      <c r="R22" s="176"/>
      <c r="S22" s="176"/>
      <c r="T22" s="176"/>
      <c r="U22" s="176"/>
      <c r="V22" s="176"/>
      <c r="W22" s="176"/>
      <c r="X22" s="176"/>
      <c r="Y22" s="176"/>
      <c r="Z22" s="176"/>
      <c r="AA22" s="176"/>
      <c r="AB22" s="176"/>
      <c r="AC22" s="169"/>
    </row>
    <row r="23" spans="1:29" s="12" customFormat="1" x14ac:dyDescent="0.3">
      <c r="A23" s="169"/>
      <c r="B23" s="176"/>
      <c r="C23" s="176"/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69"/>
    </row>
    <row r="24" spans="1:29" s="12" customFormat="1" x14ac:dyDescent="0.3">
      <c r="A24" s="169"/>
      <c r="B24" s="176"/>
      <c r="C24" s="176"/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6"/>
      <c r="X24" s="176"/>
      <c r="Y24" s="176"/>
      <c r="Z24" s="176"/>
      <c r="AA24" s="176"/>
      <c r="AB24" s="176"/>
      <c r="AC24" s="169"/>
    </row>
    <row r="25" spans="1:29" s="12" customFormat="1" x14ac:dyDescent="0.3">
      <c r="A25" s="169"/>
      <c r="B25" s="176"/>
      <c r="C25" s="176"/>
      <c r="D25" s="176"/>
      <c r="E25" s="176"/>
      <c r="F25" s="176"/>
      <c r="G25" s="176"/>
      <c r="H25" s="176"/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6"/>
      <c r="Y25" s="176"/>
      <c r="Z25" s="176"/>
      <c r="AA25" s="176"/>
      <c r="AB25" s="176"/>
      <c r="AC25" s="169"/>
    </row>
    <row r="26" spans="1:29" s="12" customFormat="1" x14ac:dyDescent="0.3">
      <c r="A26" s="169"/>
      <c r="B26" s="176"/>
      <c r="C26" s="176"/>
      <c r="D26" s="176"/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6"/>
      <c r="AA26" s="176"/>
      <c r="AB26" s="176"/>
      <c r="AC26" s="169"/>
    </row>
    <row r="27" spans="1:29" s="12" customFormat="1" x14ac:dyDescent="0.3">
      <c r="A27" s="169"/>
      <c r="B27" s="176"/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176"/>
      <c r="X27" s="176"/>
      <c r="Y27" s="176"/>
      <c r="Z27" s="176"/>
      <c r="AA27" s="176"/>
      <c r="AB27" s="176"/>
      <c r="AC27" s="169"/>
    </row>
    <row r="28" spans="1:29" s="12" customFormat="1" x14ac:dyDescent="0.3">
      <c r="A28" s="169"/>
      <c r="B28" s="176"/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76"/>
      <c r="Z28" s="176"/>
      <c r="AA28" s="176"/>
      <c r="AB28" s="176"/>
      <c r="AC28" s="169"/>
    </row>
    <row r="29" spans="1:29" s="12" customFormat="1" x14ac:dyDescent="0.3">
      <c r="A29" s="169"/>
      <c r="B29" s="176"/>
      <c r="C29" s="176"/>
      <c r="D29" s="176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176"/>
      <c r="X29" s="176"/>
      <c r="Y29" s="176"/>
      <c r="Z29" s="176"/>
      <c r="AA29" s="176"/>
      <c r="AB29" s="176"/>
      <c r="AC29" s="169"/>
    </row>
    <row r="30" spans="1:29" s="12" customFormat="1" x14ac:dyDescent="0.3">
      <c r="A30" s="169"/>
      <c r="B30" s="176"/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76"/>
      <c r="AB30" s="176"/>
      <c r="AC30" s="169"/>
    </row>
    <row r="31" spans="1:29" s="12" customFormat="1" x14ac:dyDescent="0.3">
      <c r="A31" s="169"/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6"/>
      <c r="W31" s="176"/>
      <c r="X31" s="176"/>
      <c r="Y31" s="176"/>
      <c r="Z31" s="176"/>
      <c r="AA31" s="176"/>
      <c r="AB31" s="176"/>
      <c r="AC31" s="169"/>
    </row>
    <row r="32" spans="1:29" s="12" customFormat="1" x14ac:dyDescent="0.3">
      <c r="A32" s="169"/>
      <c r="B32" s="176"/>
      <c r="C32" s="176"/>
      <c r="D32" s="176"/>
      <c r="E32" s="176"/>
      <c r="F32" s="176"/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76"/>
      <c r="Z32" s="176"/>
      <c r="AA32" s="176"/>
      <c r="AB32" s="176"/>
      <c r="AC32" s="169"/>
    </row>
    <row r="33" spans="1:29" s="12" customFormat="1" x14ac:dyDescent="0.3">
      <c r="A33" s="169"/>
      <c r="B33" s="176"/>
      <c r="C33" s="176"/>
      <c r="D33" s="176"/>
      <c r="E33" s="176"/>
      <c r="F33" s="176"/>
      <c r="G33" s="176"/>
      <c r="H33" s="176"/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76"/>
      <c r="Z33" s="176"/>
      <c r="AA33" s="176"/>
      <c r="AB33" s="176"/>
      <c r="AC33" s="169"/>
    </row>
    <row r="34" spans="1:29" s="12" customFormat="1" x14ac:dyDescent="0.3">
      <c r="A34" s="169"/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  <c r="V34" s="169"/>
      <c r="W34" s="169"/>
      <c r="X34" s="169"/>
      <c r="Y34" s="169"/>
      <c r="Z34" s="169"/>
      <c r="AA34" s="169"/>
      <c r="AB34" s="169"/>
      <c r="AC34" s="169"/>
    </row>
    <row r="35" spans="1:29" s="12" customFormat="1" x14ac:dyDescent="0.3">
      <c r="A35" s="169"/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69"/>
      <c r="X35" s="169"/>
      <c r="Y35" s="169"/>
      <c r="Z35" s="169"/>
      <c r="AA35" s="169"/>
      <c r="AB35" s="169"/>
      <c r="AC35" s="169"/>
    </row>
    <row r="36" spans="1:29" s="80" customFormat="1" ht="25.5" customHeight="1" x14ac:dyDescent="0.3">
      <c r="A36" s="463"/>
      <c r="B36" s="464" t="s">
        <v>97</v>
      </c>
      <c r="C36" s="463"/>
      <c r="D36" s="463"/>
      <c r="E36" s="463"/>
      <c r="F36" s="463"/>
      <c r="G36" s="463"/>
      <c r="H36" s="463"/>
      <c r="I36" s="463"/>
      <c r="J36" s="463"/>
      <c r="K36" s="463"/>
      <c r="L36" s="463"/>
      <c r="M36" s="463"/>
      <c r="N36" s="463"/>
      <c r="O36" s="463"/>
      <c r="P36" s="463"/>
      <c r="Q36" s="463"/>
      <c r="R36" s="463"/>
      <c r="S36" s="463"/>
      <c r="T36" s="463"/>
      <c r="U36" s="463"/>
      <c r="V36" s="463"/>
      <c r="W36" s="463"/>
      <c r="X36" s="463"/>
      <c r="Y36" s="463"/>
      <c r="Z36" s="463"/>
      <c r="AA36" s="463"/>
      <c r="AB36" s="463"/>
      <c r="AC36" s="463"/>
    </row>
    <row r="37" spans="1:29" s="12" customFormat="1" x14ac:dyDescent="0.3">
      <c r="A37" s="169"/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69"/>
      <c r="Z37" s="169"/>
      <c r="AA37" s="169"/>
      <c r="AB37" s="169"/>
      <c r="AC37" s="169"/>
    </row>
    <row r="38" spans="1:29" s="78" customFormat="1" x14ac:dyDescent="0.3">
      <c r="A38" s="169"/>
      <c r="B38" s="176"/>
      <c r="C38" s="176"/>
      <c r="D38" s="176"/>
      <c r="E38" s="176"/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176"/>
      <c r="X38" s="176"/>
      <c r="Y38" s="176"/>
      <c r="Z38" s="176"/>
      <c r="AA38" s="176"/>
      <c r="AB38" s="176"/>
      <c r="AC38" s="176"/>
    </row>
    <row r="39" spans="1:29" s="78" customFormat="1" x14ac:dyDescent="0.3">
      <c r="A39" s="169"/>
      <c r="B39" s="176"/>
      <c r="C39" s="176"/>
      <c r="D39" s="176"/>
      <c r="E39" s="176"/>
      <c r="F39" s="176"/>
      <c r="G39" s="176"/>
      <c r="H39" s="176"/>
      <c r="I39" s="176"/>
      <c r="J39" s="176"/>
      <c r="K39" s="176"/>
      <c r="L39" s="176"/>
      <c r="M39" s="176"/>
      <c r="N39" s="176"/>
      <c r="O39" s="176"/>
      <c r="P39" s="176"/>
      <c r="Q39" s="176"/>
      <c r="R39" s="176"/>
      <c r="S39" s="176"/>
      <c r="T39" s="176"/>
      <c r="U39" s="176"/>
      <c r="V39" s="176"/>
      <c r="W39" s="176"/>
      <c r="X39" s="176"/>
      <c r="Y39" s="176"/>
      <c r="Z39" s="176"/>
      <c r="AA39" s="176"/>
      <c r="AB39" s="176"/>
      <c r="AC39" s="176"/>
    </row>
    <row r="40" spans="1:29" s="78" customFormat="1" x14ac:dyDescent="0.3">
      <c r="A40" s="169"/>
      <c r="B40" s="176"/>
      <c r="C40" s="176"/>
      <c r="D40" s="176"/>
      <c r="E40" s="176"/>
      <c r="F40" s="176"/>
      <c r="G40" s="176"/>
      <c r="H40" s="176"/>
      <c r="I40" s="176"/>
      <c r="J40" s="176"/>
      <c r="K40" s="176"/>
      <c r="L40" s="176"/>
      <c r="M40" s="176"/>
      <c r="N40" s="176"/>
      <c r="O40" s="176"/>
      <c r="P40" s="176"/>
      <c r="Q40" s="176"/>
      <c r="R40" s="176"/>
      <c r="S40" s="176"/>
      <c r="T40" s="176"/>
      <c r="U40" s="176"/>
      <c r="V40" s="176"/>
      <c r="W40" s="176"/>
      <c r="X40" s="176"/>
      <c r="Y40" s="176"/>
      <c r="Z40" s="176"/>
      <c r="AA40" s="176"/>
      <c r="AB40" s="176"/>
      <c r="AC40" s="176"/>
    </row>
    <row r="41" spans="1:29" s="78" customFormat="1" x14ac:dyDescent="0.3">
      <c r="A41" s="169"/>
      <c r="B41" s="176"/>
      <c r="C41" s="176"/>
      <c r="D41" s="176"/>
      <c r="E41" s="176"/>
      <c r="F41" s="176"/>
      <c r="G41" s="176"/>
      <c r="H41" s="176"/>
      <c r="I41" s="176"/>
      <c r="J41" s="176"/>
      <c r="K41" s="176"/>
      <c r="L41" s="176"/>
      <c r="M41" s="176"/>
      <c r="N41" s="176"/>
      <c r="O41" s="176"/>
      <c r="P41" s="176"/>
      <c r="Q41" s="176"/>
      <c r="R41" s="176"/>
      <c r="S41" s="176"/>
      <c r="T41" s="176"/>
      <c r="U41" s="176"/>
      <c r="V41" s="176"/>
      <c r="W41" s="176"/>
      <c r="X41" s="176"/>
      <c r="Y41" s="176"/>
      <c r="Z41" s="176"/>
      <c r="AA41" s="176"/>
      <c r="AB41" s="176"/>
      <c r="AC41" s="176"/>
    </row>
    <row r="42" spans="1:29" s="78" customFormat="1" x14ac:dyDescent="0.3">
      <c r="A42" s="169"/>
      <c r="B42" s="176"/>
      <c r="C42" s="176"/>
      <c r="D42" s="176"/>
      <c r="E42" s="176"/>
      <c r="F42" s="176"/>
      <c r="G42" s="176"/>
      <c r="H42" s="176"/>
      <c r="I42" s="176"/>
      <c r="J42" s="176"/>
      <c r="K42" s="176"/>
      <c r="L42" s="176"/>
      <c r="M42" s="176"/>
      <c r="N42" s="176"/>
      <c r="O42" s="176"/>
      <c r="P42" s="176"/>
      <c r="Q42" s="176"/>
      <c r="R42" s="176"/>
      <c r="S42" s="176"/>
      <c r="T42" s="176"/>
      <c r="U42" s="176"/>
      <c r="V42" s="176"/>
      <c r="W42" s="176"/>
      <c r="X42" s="176"/>
      <c r="Y42" s="176"/>
      <c r="Z42" s="176"/>
      <c r="AA42" s="176"/>
      <c r="AB42" s="176"/>
      <c r="AC42" s="176"/>
    </row>
    <row r="43" spans="1:29" s="78" customFormat="1" x14ac:dyDescent="0.3">
      <c r="A43" s="169"/>
      <c r="B43" s="176"/>
      <c r="C43" s="176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76"/>
      <c r="W43" s="176"/>
      <c r="X43" s="176"/>
      <c r="Y43" s="176"/>
      <c r="Z43" s="176"/>
      <c r="AA43" s="176"/>
      <c r="AB43" s="176"/>
      <c r="AC43" s="176"/>
    </row>
    <row r="44" spans="1:29" s="78" customFormat="1" x14ac:dyDescent="0.3">
      <c r="A44" s="169"/>
      <c r="B44" s="176"/>
      <c r="C44" s="176"/>
      <c r="D44" s="176"/>
      <c r="E44" s="176"/>
      <c r="F44" s="176"/>
      <c r="G44" s="176"/>
      <c r="H44" s="176"/>
      <c r="I44" s="176"/>
      <c r="J44" s="176"/>
      <c r="K44" s="176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176"/>
      <c r="X44" s="176"/>
      <c r="Y44" s="176"/>
      <c r="Z44" s="176"/>
      <c r="AA44" s="176"/>
      <c r="AB44" s="176"/>
      <c r="AC44" s="176"/>
    </row>
    <row r="45" spans="1:29" s="78" customFormat="1" x14ac:dyDescent="0.3">
      <c r="A45" s="169"/>
      <c r="B45" s="176"/>
      <c r="C45" s="176"/>
      <c r="D45" s="176"/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176"/>
      <c r="X45" s="176"/>
      <c r="Y45" s="176"/>
      <c r="Z45" s="176"/>
      <c r="AA45" s="176"/>
      <c r="AB45" s="176"/>
      <c r="AC45" s="176"/>
    </row>
    <row r="46" spans="1:29" s="78" customFormat="1" x14ac:dyDescent="0.3">
      <c r="A46" s="169"/>
      <c r="B46" s="176"/>
      <c r="C46" s="176"/>
      <c r="D46" s="176"/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176"/>
      <c r="P46" s="176"/>
      <c r="Q46" s="176"/>
      <c r="R46" s="176"/>
      <c r="S46" s="176"/>
      <c r="T46" s="176"/>
      <c r="U46" s="176"/>
      <c r="V46" s="176"/>
      <c r="W46" s="176"/>
      <c r="X46" s="176"/>
      <c r="Y46" s="176"/>
      <c r="Z46" s="176"/>
      <c r="AA46" s="176"/>
      <c r="AB46" s="176"/>
      <c r="AC46" s="176"/>
    </row>
    <row r="47" spans="1:29" s="78" customFormat="1" x14ac:dyDescent="0.3">
      <c r="A47" s="169"/>
      <c r="B47" s="176"/>
      <c r="C47" s="176"/>
      <c r="D47" s="176"/>
      <c r="E47" s="176"/>
      <c r="F47" s="176"/>
      <c r="G47" s="176"/>
      <c r="H47" s="176"/>
      <c r="I47" s="176"/>
      <c r="J47" s="176"/>
      <c r="K47" s="176"/>
      <c r="L47" s="176"/>
      <c r="M47" s="176"/>
      <c r="N47" s="176"/>
      <c r="O47" s="176"/>
      <c r="P47" s="176"/>
      <c r="Q47" s="176"/>
      <c r="R47" s="176"/>
      <c r="S47" s="176"/>
      <c r="T47" s="176"/>
      <c r="U47" s="176"/>
      <c r="V47" s="176"/>
      <c r="W47" s="176"/>
      <c r="X47" s="176"/>
      <c r="Y47" s="176"/>
      <c r="Z47" s="176"/>
      <c r="AA47" s="176"/>
      <c r="AB47" s="176"/>
      <c r="AC47" s="176"/>
    </row>
    <row r="48" spans="1:29" s="78" customFormat="1" x14ac:dyDescent="0.3">
      <c r="A48" s="169"/>
      <c r="B48" s="176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6"/>
      <c r="Q48" s="176"/>
      <c r="R48" s="176"/>
      <c r="S48" s="176"/>
      <c r="T48" s="176"/>
      <c r="U48" s="176"/>
      <c r="V48" s="176"/>
      <c r="W48" s="176"/>
      <c r="X48" s="176"/>
      <c r="Y48" s="176"/>
      <c r="Z48" s="176"/>
      <c r="AA48" s="176"/>
      <c r="AB48" s="176"/>
      <c r="AC48" s="176"/>
    </row>
    <row r="49" spans="1:29" s="78" customFormat="1" x14ac:dyDescent="0.3">
      <c r="A49" s="169"/>
      <c r="B49" s="176"/>
      <c r="C49" s="176"/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6"/>
      <c r="Q49" s="176"/>
      <c r="R49" s="176"/>
      <c r="S49" s="176"/>
      <c r="T49" s="176"/>
      <c r="U49" s="176"/>
      <c r="V49" s="176"/>
      <c r="W49" s="176"/>
      <c r="X49" s="176"/>
      <c r="Y49" s="176"/>
      <c r="Z49" s="176"/>
      <c r="AA49" s="176"/>
      <c r="AB49" s="176"/>
      <c r="AC49" s="176"/>
    </row>
    <row r="50" spans="1:29" s="78" customFormat="1" x14ac:dyDescent="0.3">
      <c r="A50" s="169"/>
      <c r="B50" s="176"/>
      <c r="C50" s="176"/>
      <c r="D50" s="176"/>
      <c r="E50" s="176"/>
      <c r="F50" s="176"/>
      <c r="G50" s="176"/>
      <c r="H50" s="176"/>
      <c r="I50" s="176"/>
      <c r="J50" s="176"/>
      <c r="K50" s="176"/>
      <c r="L50" s="176"/>
      <c r="M50" s="176"/>
      <c r="N50" s="176"/>
      <c r="O50" s="176"/>
      <c r="P50" s="176"/>
      <c r="Q50" s="176"/>
      <c r="R50" s="176"/>
      <c r="S50" s="176"/>
      <c r="T50" s="176"/>
      <c r="U50" s="176"/>
      <c r="V50" s="176"/>
      <c r="W50" s="176"/>
      <c r="X50" s="176"/>
      <c r="Y50" s="176"/>
      <c r="Z50" s="176"/>
      <c r="AA50" s="176"/>
      <c r="AB50" s="176"/>
      <c r="AC50" s="176"/>
    </row>
    <row r="51" spans="1:29" s="78" customFormat="1" x14ac:dyDescent="0.3">
      <c r="A51" s="169"/>
      <c r="B51" s="176"/>
      <c r="C51" s="176"/>
      <c r="D51" s="176"/>
      <c r="E51" s="176"/>
      <c r="F51" s="176"/>
      <c r="G51" s="176"/>
      <c r="H51" s="176"/>
      <c r="I51" s="176"/>
      <c r="J51" s="176"/>
      <c r="K51" s="176"/>
      <c r="L51" s="176"/>
      <c r="M51" s="176"/>
      <c r="N51" s="176"/>
      <c r="O51" s="176"/>
      <c r="P51" s="176"/>
      <c r="Q51" s="176"/>
      <c r="R51" s="176"/>
      <c r="S51" s="176"/>
      <c r="T51" s="176"/>
      <c r="U51" s="176"/>
      <c r="V51" s="176"/>
      <c r="W51" s="176"/>
      <c r="X51" s="176"/>
      <c r="Y51" s="176"/>
      <c r="Z51" s="176"/>
      <c r="AA51" s="176"/>
      <c r="AB51" s="176"/>
      <c r="AC51" s="176"/>
    </row>
    <row r="52" spans="1:29" s="78" customFormat="1" x14ac:dyDescent="0.3">
      <c r="A52" s="169"/>
      <c r="B52" s="176"/>
      <c r="C52" s="176"/>
      <c r="D52" s="176"/>
      <c r="E52" s="176"/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76"/>
      <c r="R52" s="176"/>
      <c r="S52" s="176"/>
      <c r="T52" s="176"/>
      <c r="U52" s="176"/>
      <c r="V52" s="176"/>
      <c r="W52" s="176"/>
      <c r="X52" s="176"/>
      <c r="Y52" s="176"/>
      <c r="Z52" s="176"/>
      <c r="AA52" s="176"/>
      <c r="AB52" s="176"/>
      <c r="AC52" s="176"/>
    </row>
    <row r="53" spans="1:29" s="78" customFormat="1" x14ac:dyDescent="0.3">
      <c r="A53" s="169"/>
      <c r="B53" s="176"/>
      <c r="C53" s="176"/>
      <c r="D53" s="176"/>
      <c r="E53" s="176"/>
      <c r="F53" s="176"/>
      <c r="G53" s="176"/>
      <c r="H53" s="176"/>
      <c r="I53" s="176"/>
      <c r="J53" s="176"/>
      <c r="K53" s="176"/>
      <c r="L53" s="176"/>
      <c r="M53" s="176"/>
      <c r="N53" s="176"/>
      <c r="O53" s="176"/>
      <c r="P53" s="176"/>
      <c r="Q53" s="176"/>
      <c r="R53" s="176"/>
      <c r="S53" s="176"/>
      <c r="T53" s="176"/>
      <c r="U53" s="176"/>
      <c r="V53" s="176"/>
      <c r="W53" s="176"/>
      <c r="X53" s="176"/>
      <c r="Y53" s="176"/>
      <c r="Z53" s="176"/>
      <c r="AA53" s="176"/>
      <c r="AB53" s="176"/>
      <c r="AC53" s="176"/>
    </row>
    <row r="54" spans="1:29" s="78" customFormat="1" x14ac:dyDescent="0.3">
      <c r="A54" s="169"/>
      <c r="B54" s="176"/>
      <c r="C54" s="176"/>
      <c r="D54" s="176"/>
      <c r="E54" s="176"/>
      <c r="F54" s="176"/>
      <c r="G54" s="176"/>
      <c r="H54" s="176"/>
      <c r="I54" s="176"/>
      <c r="J54" s="176"/>
      <c r="K54" s="176"/>
      <c r="L54" s="176"/>
      <c r="M54" s="176"/>
      <c r="N54" s="176"/>
      <c r="O54" s="176"/>
      <c r="P54" s="176"/>
      <c r="Q54" s="176"/>
      <c r="R54" s="176"/>
      <c r="S54" s="176"/>
      <c r="T54" s="176"/>
      <c r="U54" s="176"/>
      <c r="V54" s="176"/>
      <c r="W54" s="176"/>
      <c r="X54" s="176"/>
      <c r="Y54" s="176"/>
      <c r="Z54" s="176"/>
      <c r="AA54" s="176"/>
      <c r="AB54" s="176"/>
      <c r="AC54" s="176"/>
    </row>
    <row r="55" spans="1:29" s="78" customFormat="1" x14ac:dyDescent="0.3">
      <c r="A55" s="169"/>
      <c r="B55" s="176"/>
      <c r="C55" s="176"/>
      <c r="D55" s="176"/>
      <c r="E55" s="176"/>
      <c r="F55" s="176"/>
      <c r="G55" s="176"/>
      <c r="H55" s="176"/>
      <c r="I55" s="176"/>
      <c r="J55" s="176"/>
      <c r="K55" s="176"/>
      <c r="L55" s="176"/>
      <c r="M55" s="176"/>
      <c r="N55" s="176"/>
      <c r="O55" s="176"/>
      <c r="P55" s="176"/>
      <c r="Q55" s="176"/>
      <c r="R55" s="176"/>
      <c r="S55" s="176"/>
      <c r="T55" s="176"/>
      <c r="U55" s="176"/>
      <c r="V55" s="176"/>
      <c r="W55" s="176"/>
      <c r="X55" s="176"/>
      <c r="Y55" s="176"/>
      <c r="Z55" s="176"/>
      <c r="AA55" s="176"/>
      <c r="AB55" s="176"/>
      <c r="AC55" s="176"/>
    </row>
    <row r="56" spans="1:29" s="78" customFormat="1" x14ac:dyDescent="0.3">
      <c r="A56" s="169"/>
      <c r="B56" s="176"/>
      <c r="C56" s="176"/>
      <c r="D56" s="176"/>
      <c r="E56" s="176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  <c r="R56" s="176"/>
      <c r="S56" s="176"/>
      <c r="T56" s="176"/>
      <c r="U56" s="176"/>
      <c r="V56" s="176"/>
      <c r="W56" s="176"/>
      <c r="X56" s="176"/>
      <c r="Y56" s="176"/>
      <c r="Z56" s="176"/>
      <c r="AA56" s="176"/>
      <c r="AB56" s="176"/>
      <c r="AC56" s="176"/>
    </row>
    <row r="57" spans="1:29" s="78" customFormat="1" x14ac:dyDescent="0.3">
      <c r="A57" s="169"/>
      <c r="B57" s="176"/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  <c r="AA57" s="176"/>
      <c r="AB57" s="176"/>
      <c r="AC57" s="176"/>
    </row>
    <row r="58" spans="1:29" s="78" customFormat="1" x14ac:dyDescent="0.3">
      <c r="A58" s="169"/>
      <c r="B58" s="176"/>
      <c r="C58" s="176"/>
      <c r="D58" s="176"/>
      <c r="E58" s="176"/>
      <c r="F58" s="176"/>
      <c r="G58" s="176"/>
      <c r="H58" s="176"/>
      <c r="I58" s="176"/>
      <c r="J58" s="176"/>
      <c r="K58" s="176"/>
      <c r="L58" s="176"/>
      <c r="M58" s="176"/>
      <c r="N58" s="176"/>
      <c r="O58" s="176"/>
      <c r="P58" s="176"/>
      <c r="Q58" s="176"/>
      <c r="R58" s="176"/>
      <c r="S58" s="176"/>
      <c r="T58" s="176"/>
      <c r="U58" s="176"/>
      <c r="V58" s="176"/>
      <c r="W58" s="176"/>
      <c r="X58" s="176"/>
      <c r="Y58" s="176"/>
      <c r="Z58" s="176"/>
      <c r="AA58" s="176"/>
      <c r="AB58" s="176"/>
      <c r="AC58" s="176"/>
    </row>
    <row r="59" spans="1:29" s="78" customFormat="1" x14ac:dyDescent="0.3">
      <c r="A59" s="169"/>
      <c r="B59" s="176"/>
      <c r="C59" s="176"/>
      <c r="D59" s="176"/>
      <c r="E59" s="176"/>
      <c r="F59" s="176"/>
      <c r="G59" s="176"/>
      <c r="H59" s="176"/>
      <c r="I59" s="176"/>
      <c r="J59" s="176"/>
      <c r="K59" s="176"/>
      <c r="L59" s="176"/>
      <c r="M59" s="176"/>
      <c r="N59" s="176"/>
      <c r="O59" s="176"/>
      <c r="P59" s="176"/>
      <c r="Q59" s="176"/>
      <c r="R59" s="176"/>
      <c r="S59" s="176"/>
      <c r="T59" s="176"/>
      <c r="U59" s="176"/>
      <c r="V59" s="176"/>
      <c r="W59" s="176"/>
      <c r="X59" s="176"/>
      <c r="Y59" s="176"/>
      <c r="Z59" s="176"/>
      <c r="AA59" s="176"/>
      <c r="AB59" s="176"/>
      <c r="AC59" s="176"/>
    </row>
    <row r="60" spans="1:29" s="78" customFormat="1" x14ac:dyDescent="0.3">
      <c r="A60" s="169"/>
      <c r="B60" s="176"/>
      <c r="C60" s="176"/>
      <c r="D60" s="176"/>
      <c r="E60" s="176"/>
      <c r="F60" s="176"/>
      <c r="G60" s="176"/>
      <c r="H60" s="176"/>
      <c r="I60" s="176"/>
      <c r="J60" s="176"/>
      <c r="K60" s="176"/>
      <c r="L60" s="176"/>
      <c r="M60" s="176"/>
      <c r="N60" s="176"/>
      <c r="O60" s="176"/>
      <c r="P60" s="176"/>
      <c r="Q60" s="176"/>
      <c r="R60" s="176"/>
      <c r="S60" s="176"/>
      <c r="T60" s="176"/>
      <c r="U60" s="176"/>
      <c r="V60" s="176"/>
      <c r="W60" s="176"/>
      <c r="X60" s="176"/>
      <c r="Y60" s="176"/>
      <c r="Z60" s="176"/>
      <c r="AA60" s="176"/>
      <c r="AB60" s="176"/>
      <c r="AC60" s="176"/>
    </row>
    <row r="61" spans="1:29" s="78" customFormat="1" x14ac:dyDescent="0.3">
      <c r="A61" s="169"/>
      <c r="B61" s="176"/>
      <c r="C61" s="176"/>
      <c r="D61" s="176"/>
      <c r="E61" s="176"/>
      <c r="F61" s="176"/>
      <c r="G61" s="176"/>
      <c r="H61" s="176"/>
      <c r="I61" s="176"/>
      <c r="J61" s="176"/>
      <c r="K61" s="176"/>
      <c r="L61" s="176"/>
      <c r="M61" s="176"/>
      <c r="N61" s="176"/>
      <c r="O61" s="176"/>
      <c r="P61" s="176"/>
      <c r="Q61" s="176"/>
      <c r="R61" s="176"/>
      <c r="S61" s="176"/>
      <c r="T61" s="176"/>
      <c r="U61" s="176"/>
      <c r="V61" s="176"/>
      <c r="W61" s="176"/>
      <c r="X61" s="176"/>
      <c r="Y61" s="176"/>
      <c r="Z61" s="176"/>
      <c r="AA61" s="176"/>
      <c r="AB61" s="176"/>
      <c r="AC61" s="176"/>
    </row>
    <row r="62" spans="1:29" s="78" customFormat="1" x14ac:dyDescent="0.3">
      <c r="A62" s="169"/>
      <c r="B62" s="176"/>
      <c r="C62" s="176"/>
      <c r="D62" s="176"/>
      <c r="E62" s="176"/>
      <c r="F62" s="176"/>
      <c r="G62" s="176"/>
      <c r="H62" s="176"/>
      <c r="I62" s="176"/>
      <c r="J62" s="176"/>
      <c r="K62" s="176"/>
      <c r="L62" s="176"/>
      <c r="M62" s="176"/>
      <c r="N62" s="176"/>
      <c r="O62" s="176"/>
      <c r="P62" s="176"/>
      <c r="Q62" s="176"/>
      <c r="R62" s="176"/>
      <c r="S62" s="176"/>
      <c r="T62" s="176"/>
      <c r="U62" s="176"/>
      <c r="V62" s="176"/>
      <c r="W62" s="176"/>
      <c r="X62" s="176"/>
      <c r="Y62" s="176"/>
      <c r="Z62" s="176"/>
      <c r="AA62" s="176"/>
      <c r="AB62" s="176"/>
      <c r="AC62" s="176"/>
    </row>
    <row r="63" spans="1:29" s="78" customFormat="1" x14ac:dyDescent="0.3">
      <c r="A63" s="169"/>
      <c r="B63" s="176"/>
      <c r="C63" s="176"/>
      <c r="D63" s="176"/>
      <c r="E63" s="176"/>
      <c r="F63" s="176"/>
      <c r="G63" s="176"/>
      <c r="H63" s="176"/>
      <c r="I63" s="176"/>
      <c r="J63" s="176"/>
      <c r="K63" s="176"/>
      <c r="L63" s="176"/>
      <c r="M63" s="176"/>
      <c r="N63" s="176"/>
      <c r="O63" s="176"/>
      <c r="P63" s="176"/>
      <c r="Q63" s="176"/>
      <c r="R63" s="176"/>
      <c r="S63" s="176"/>
      <c r="T63" s="176"/>
      <c r="U63" s="176"/>
      <c r="V63" s="176"/>
      <c r="W63" s="176"/>
      <c r="X63" s="176"/>
      <c r="Y63" s="176"/>
      <c r="Z63" s="176"/>
      <c r="AA63" s="176"/>
      <c r="AB63" s="176"/>
      <c r="AC63" s="176"/>
    </row>
    <row r="64" spans="1:29" s="78" customFormat="1" x14ac:dyDescent="0.3">
      <c r="A64" s="169"/>
      <c r="B64" s="176"/>
      <c r="C64" s="176"/>
      <c r="D64" s="176"/>
      <c r="E64" s="176"/>
      <c r="F64" s="176"/>
      <c r="G64" s="176"/>
      <c r="H64" s="176"/>
      <c r="I64" s="176"/>
      <c r="J64" s="176"/>
      <c r="K64" s="176"/>
      <c r="L64" s="176"/>
      <c r="M64" s="176"/>
      <c r="N64" s="176"/>
      <c r="O64" s="176"/>
      <c r="P64" s="176"/>
      <c r="Q64" s="176"/>
      <c r="R64" s="176"/>
      <c r="S64" s="176"/>
      <c r="T64" s="176"/>
      <c r="U64" s="176"/>
      <c r="V64" s="176"/>
      <c r="W64" s="176"/>
      <c r="X64" s="176"/>
      <c r="Y64" s="176"/>
      <c r="Z64" s="176"/>
      <c r="AA64" s="176"/>
      <c r="AB64" s="176"/>
      <c r="AC64" s="176"/>
    </row>
    <row r="65" spans="1:29" s="78" customFormat="1" x14ac:dyDescent="0.3">
      <c r="A65" s="169"/>
      <c r="B65" s="176"/>
      <c r="C65" s="176"/>
      <c r="D65" s="176"/>
      <c r="E65" s="176"/>
      <c r="F65" s="176"/>
      <c r="G65" s="176"/>
      <c r="H65" s="176"/>
      <c r="I65" s="176"/>
      <c r="J65" s="176"/>
      <c r="K65" s="176"/>
      <c r="L65" s="176"/>
      <c r="M65" s="176"/>
      <c r="N65" s="176"/>
      <c r="O65" s="176"/>
      <c r="P65" s="176"/>
      <c r="Q65" s="176"/>
      <c r="R65" s="176"/>
      <c r="S65" s="176"/>
      <c r="T65" s="176"/>
      <c r="U65" s="176"/>
      <c r="V65" s="176"/>
      <c r="W65" s="176"/>
      <c r="X65" s="176"/>
      <c r="Y65" s="176"/>
      <c r="Z65" s="176"/>
      <c r="AA65" s="176"/>
      <c r="AB65" s="176"/>
      <c r="AC65" s="176"/>
    </row>
    <row r="66" spans="1:29" s="78" customFormat="1" x14ac:dyDescent="0.3">
      <c r="A66" s="169"/>
      <c r="B66" s="176"/>
      <c r="C66" s="176"/>
      <c r="D66" s="176"/>
      <c r="E66" s="176"/>
      <c r="F66" s="176"/>
      <c r="G66" s="176"/>
      <c r="H66" s="176"/>
      <c r="I66" s="176"/>
      <c r="J66" s="176"/>
      <c r="K66" s="176"/>
      <c r="L66" s="176"/>
      <c r="M66" s="176"/>
      <c r="N66" s="176"/>
      <c r="O66" s="176"/>
      <c r="P66" s="176"/>
      <c r="Q66" s="176"/>
      <c r="R66" s="176"/>
      <c r="S66" s="176"/>
      <c r="T66" s="176"/>
      <c r="U66" s="176"/>
      <c r="V66" s="176"/>
      <c r="W66" s="176"/>
      <c r="X66" s="176"/>
      <c r="Y66" s="176"/>
      <c r="Z66" s="176"/>
      <c r="AA66" s="176"/>
      <c r="AB66" s="176"/>
      <c r="AC66" s="176"/>
    </row>
    <row r="67" spans="1:29" s="78" customFormat="1" x14ac:dyDescent="0.3">
      <c r="A67" s="169"/>
      <c r="B67" s="176"/>
      <c r="C67" s="176"/>
      <c r="D67" s="176"/>
      <c r="E67" s="176"/>
      <c r="F67" s="176"/>
      <c r="G67" s="176"/>
      <c r="H67" s="176"/>
      <c r="I67" s="176"/>
      <c r="J67" s="176"/>
      <c r="K67" s="176"/>
      <c r="L67" s="176"/>
      <c r="M67" s="176"/>
      <c r="N67" s="176"/>
      <c r="O67" s="176"/>
      <c r="P67" s="176"/>
      <c r="Q67" s="176"/>
      <c r="R67" s="176"/>
      <c r="S67" s="176"/>
      <c r="T67" s="176"/>
      <c r="U67" s="176"/>
      <c r="V67" s="176"/>
      <c r="W67" s="176"/>
      <c r="X67" s="176"/>
      <c r="Y67" s="176"/>
      <c r="Z67" s="176"/>
      <c r="AA67" s="176"/>
      <c r="AB67" s="176"/>
      <c r="AC67" s="176"/>
    </row>
    <row r="68" spans="1:29" s="78" customFormat="1" x14ac:dyDescent="0.3">
      <c r="A68" s="169"/>
      <c r="B68" s="176"/>
      <c r="C68" s="176"/>
      <c r="D68" s="176"/>
      <c r="E68" s="176"/>
      <c r="F68" s="176"/>
      <c r="G68" s="176"/>
      <c r="H68" s="176"/>
      <c r="I68" s="176"/>
      <c r="J68" s="176"/>
      <c r="K68" s="176"/>
      <c r="L68" s="176"/>
      <c r="M68" s="176"/>
      <c r="N68" s="176"/>
      <c r="O68" s="176"/>
      <c r="P68" s="176"/>
      <c r="Q68" s="176"/>
      <c r="R68" s="176"/>
      <c r="S68" s="176"/>
      <c r="T68" s="176"/>
      <c r="U68" s="176"/>
      <c r="V68" s="176"/>
      <c r="W68" s="176"/>
      <c r="X68" s="176"/>
      <c r="Y68" s="176"/>
      <c r="Z68" s="176"/>
      <c r="AA68" s="176"/>
      <c r="AB68" s="176"/>
      <c r="AC68" s="176"/>
    </row>
    <row r="69" spans="1:29" s="78" customFormat="1" x14ac:dyDescent="0.3">
      <c r="A69" s="169"/>
      <c r="B69" s="176"/>
      <c r="C69" s="176"/>
      <c r="D69" s="176"/>
      <c r="E69" s="176"/>
      <c r="F69" s="176"/>
      <c r="G69" s="176"/>
      <c r="H69" s="176"/>
      <c r="I69" s="176"/>
      <c r="J69" s="176"/>
      <c r="K69" s="176"/>
      <c r="L69" s="176"/>
      <c r="M69" s="176"/>
      <c r="N69" s="176"/>
      <c r="O69" s="176"/>
      <c r="P69" s="176"/>
      <c r="Q69" s="176"/>
      <c r="R69" s="176"/>
      <c r="S69" s="176"/>
      <c r="T69" s="176"/>
      <c r="U69" s="176"/>
      <c r="V69" s="176"/>
      <c r="W69" s="176"/>
      <c r="X69" s="176"/>
      <c r="Y69" s="176"/>
      <c r="Z69" s="176"/>
      <c r="AA69" s="176"/>
      <c r="AB69" s="176"/>
      <c r="AC69" s="176"/>
    </row>
    <row r="70" spans="1:29" s="78" customFormat="1" x14ac:dyDescent="0.3">
      <c r="A70" s="169"/>
      <c r="B70" s="176"/>
      <c r="C70" s="176"/>
      <c r="D70" s="176"/>
      <c r="E70" s="176"/>
      <c r="F70" s="176"/>
      <c r="G70" s="176"/>
      <c r="H70" s="176"/>
      <c r="I70" s="176"/>
      <c r="J70" s="176"/>
      <c r="K70" s="176"/>
      <c r="L70" s="176"/>
      <c r="M70" s="176"/>
      <c r="N70" s="176"/>
      <c r="O70" s="176"/>
      <c r="P70" s="176"/>
      <c r="Q70" s="176"/>
      <c r="R70" s="176"/>
      <c r="S70" s="176"/>
      <c r="T70" s="176"/>
      <c r="U70" s="176"/>
      <c r="V70" s="176"/>
      <c r="W70" s="176"/>
      <c r="X70" s="176"/>
      <c r="Y70" s="176"/>
      <c r="Z70" s="176"/>
      <c r="AA70" s="176"/>
      <c r="AB70" s="176"/>
      <c r="AC70" s="176"/>
    </row>
    <row r="71" spans="1:29" s="78" customFormat="1" x14ac:dyDescent="0.3">
      <c r="A71" s="169"/>
      <c r="B71" s="176"/>
      <c r="C71" s="176"/>
      <c r="D71" s="176"/>
      <c r="E71" s="176"/>
      <c r="F71" s="176"/>
      <c r="G71" s="176"/>
      <c r="H71" s="176"/>
      <c r="I71" s="176"/>
      <c r="J71" s="176"/>
      <c r="K71" s="176"/>
      <c r="L71" s="176"/>
      <c r="M71" s="176"/>
      <c r="N71" s="176"/>
      <c r="O71" s="176"/>
      <c r="P71" s="176"/>
      <c r="Q71" s="176"/>
      <c r="R71" s="176"/>
      <c r="S71" s="176"/>
      <c r="T71" s="176"/>
      <c r="U71" s="176"/>
      <c r="V71" s="176"/>
      <c r="W71" s="176"/>
      <c r="X71" s="176"/>
      <c r="Y71" s="176"/>
      <c r="Z71" s="176"/>
      <c r="AA71" s="176"/>
      <c r="AB71" s="176"/>
      <c r="AC71" s="176"/>
    </row>
    <row r="72" spans="1:29" s="78" customFormat="1" x14ac:dyDescent="0.3">
      <c r="A72" s="169"/>
      <c r="B72" s="176"/>
      <c r="C72" s="176"/>
      <c r="D72" s="176"/>
      <c r="E72" s="176"/>
      <c r="F72" s="176"/>
      <c r="G72" s="176"/>
      <c r="H72" s="176"/>
      <c r="I72" s="176"/>
      <c r="J72" s="176"/>
      <c r="K72" s="176"/>
      <c r="L72" s="176"/>
      <c r="M72" s="176"/>
      <c r="N72" s="176"/>
      <c r="O72" s="176"/>
      <c r="P72" s="176"/>
      <c r="Q72" s="176"/>
      <c r="R72" s="176"/>
      <c r="S72" s="176"/>
      <c r="T72" s="176"/>
      <c r="U72" s="176"/>
      <c r="V72" s="176"/>
      <c r="W72" s="176"/>
      <c r="X72" s="176"/>
      <c r="Y72" s="176"/>
      <c r="Z72" s="176"/>
      <c r="AA72" s="176"/>
      <c r="AB72" s="176"/>
      <c r="AC72" s="176"/>
    </row>
    <row r="73" spans="1:29" s="78" customFormat="1" x14ac:dyDescent="0.3">
      <c r="A73" s="169"/>
      <c r="B73" s="176"/>
      <c r="C73" s="176"/>
      <c r="D73" s="176"/>
      <c r="E73" s="176"/>
      <c r="F73" s="176"/>
      <c r="G73" s="176"/>
      <c r="H73" s="176"/>
      <c r="I73" s="176"/>
      <c r="J73" s="176"/>
      <c r="K73" s="176"/>
      <c r="L73" s="176"/>
      <c r="M73" s="176"/>
      <c r="N73" s="176"/>
      <c r="O73" s="176"/>
      <c r="P73" s="176"/>
      <c r="Q73" s="176"/>
      <c r="R73" s="176"/>
      <c r="S73" s="176"/>
      <c r="T73" s="176"/>
      <c r="U73" s="176"/>
      <c r="V73" s="176"/>
      <c r="W73" s="176"/>
      <c r="X73" s="176"/>
      <c r="Y73" s="176"/>
      <c r="Z73" s="176"/>
      <c r="AA73" s="176"/>
      <c r="AB73" s="176"/>
      <c r="AC73" s="176"/>
    </row>
    <row r="74" spans="1:29" s="78" customFormat="1" x14ac:dyDescent="0.3">
      <c r="A74" s="169"/>
      <c r="B74" s="176"/>
      <c r="C74" s="176"/>
      <c r="D74" s="176"/>
      <c r="E74" s="176"/>
      <c r="F74" s="176"/>
      <c r="G74" s="176"/>
      <c r="H74" s="176"/>
      <c r="I74" s="176"/>
      <c r="J74" s="176"/>
      <c r="K74" s="176"/>
      <c r="L74" s="176"/>
      <c r="M74" s="176"/>
      <c r="N74" s="176"/>
      <c r="O74" s="176"/>
      <c r="P74" s="176"/>
      <c r="Q74" s="176"/>
      <c r="R74" s="176"/>
      <c r="S74" s="176"/>
      <c r="T74" s="176"/>
      <c r="U74" s="176"/>
      <c r="V74" s="176"/>
      <c r="W74" s="176"/>
      <c r="X74" s="176"/>
      <c r="Y74" s="176"/>
      <c r="Z74" s="176"/>
      <c r="AA74" s="176"/>
      <c r="AB74" s="176"/>
      <c r="AC74" s="176"/>
    </row>
    <row r="75" spans="1:29" s="78" customFormat="1" x14ac:dyDescent="0.3">
      <c r="A75" s="169"/>
      <c r="B75" s="176"/>
      <c r="C75" s="176"/>
      <c r="D75" s="176"/>
      <c r="E75" s="176"/>
      <c r="F75" s="176"/>
      <c r="G75" s="176"/>
      <c r="H75" s="176"/>
      <c r="I75" s="176"/>
      <c r="J75" s="176"/>
      <c r="K75" s="176"/>
      <c r="L75" s="176"/>
      <c r="M75" s="176"/>
      <c r="N75" s="176"/>
      <c r="O75" s="176"/>
      <c r="P75" s="176"/>
      <c r="Q75" s="176"/>
      <c r="R75" s="176"/>
      <c r="S75" s="176"/>
      <c r="T75" s="176"/>
      <c r="U75" s="176"/>
      <c r="V75" s="176"/>
      <c r="W75" s="176"/>
      <c r="X75" s="176"/>
      <c r="Y75" s="176"/>
      <c r="Z75" s="176"/>
      <c r="AA75" s="176"/>
      <c r="AB75" s="176"/>
      <c r="AC75" s="176"/>
    </row>
    <row r="76" spans="1:29" s="78" customFormat="1" x14ac:dyDescent="0.3">
      <c r="A76" s="169"/>
      <c r="B76" s="176"/>
      <c r="C76" s="176"/>
      <c r="D76" s="176"/>
      <c r="E76" s="176"/>
      <c r="F76" s="176"/>
      <c r="G76" s="176"/>
      <c r="H76" s="176"/>
      <c r="I76" s="176"/>
      <c r="J76" s="176"/>
      <c r="K76" s="176"/>
      <c r="L76" s="176"/>
      <c r="M76" s="176"/>
      <c r="N76" s="176"/>
      <c r="O76" s="176"/>
      <c r="P76" s="176"/>
      <c r="Q76" s="176"/>
      <c r="R76" s="176"/>
      <c r="S76" s="176"/>
      <c r="T76" s="176"/>
      <c r="U76" s="176"/>
      <c r="V76" s="176"/>
      <c r="W76" s="176"/>
      <c r="X76" s="176"/>
      <c r="Y76" s="176"/>
      <c r="Z76" s="176"/>
      <c r="AA76" s="176"/>
      <c r="AB76" s="176"/>
      <c r="AC76" s="176"/>
    </row>
    <row r="77" spans="1:29" s="78" customFormat="1" x14ac:dyDescent="0.3">
      <c r="A77" s="169"/>
      <c r="B77" s="176"/>
      <c r="C77" s="176"/>
      <c r="D77" s="176"/>
      <c r="E77" s="176"/>
      <c r="F77" s="176"/>
      <c r="G77" s="176"/>
      <c r="H77" s="176"/>
      <c r="I77" s="176"/>
      <c r="J77" s="176"/>
      <c r="K77" s="176"/>
      <c r="L77" s="176"/>
      <c r="M77" s="176"/>
      <c r="N77" s="176"/>
      <c r="O77" s="176"/>
      <c r="P77" s="176"/>
      <c r="Q77" s="176"/>
      <c r="R77" s="176"/>
      <c r="S77" s="176"/>
      <c r="T77" s="176"/>
      <c r="U77" s="176"/>
      <c r="V77" s="176"/>
      <c r="W77" s="176"/>
      <c r="X77" s="176"/>
      <c r="Y77" s="176"/>
      <c r="Z77" s="176"/>
      <c r="AA77" s="176"/>
      <c r="AB77" s="176"/>
      <c r="AC77" s="176"/>
    </row>
    <row r="78" spans="1:29" s="78" customFormat="1" x14ac:dyDescent="0.3">
      <c r="A78" s="169"/>
      <c r="B78" s="176"/>
      <c r="C78" s="176"/>
      <c r="D78" s="176"/>
      <c r="E78" s="176"/>
      <c r="F78" s="176"/>
      <c r="G78" s="176"/>
      <c r="H78" s="176"/>
      <c r="I78" s="176"/>
      <c r="J78" s="176"/>
      <c r="K78" s="176"/>
      <c r="L78" s="176"/>
      <c r="M78" s="176"/>
      <c r="N78" s="176"/>
      <c r="O78" s="176"/>
      <c r="P78" s="176"/>
      <c r="Q78" s="176"/>
      <c r="R78" s="176"/>
      <c r="S78" s="176"/>
      <c r="T78" s="176"/>
      <c r="U78" s="176"/>
      <c r="V78" s="176"/>
      <c r="W78" s="176"/>
      <c r="X78" s="176"/>
      <c r="Y78" s="176"/>
      <c r="Z78" s="176"/>
      <c r="AA78" s="176"/>
      <c r="AB78" s="176"/>
      <c r="AC78" s="176"/>
    </row>
    <row r="79" spans="1:29" s="78" customFormat="1" x14ac:dyDescent="0.3">
      <c r="A79" s="169"/>
      <c r="B79" s="176"/>
      <c r="C79" s="176"/>
      <c r="D79" s="176"/>
      <c r="E79" s="176"/>
      <c r="F79" s="176"/>
      <c r="G79" s="176"/>
      <c r="H79" s="176"/>
      <c r="I79" s="176"/>
      <c r="J79" s="176"/>
      <c r="K79" s="176"/>
      <c r="L79" s="176"/>
      <c r="M79" s="176"/>
      <c r="N79" s="176"/>
      <c r="O79" s="176"/>
      <c r="P79" s="176"/>
      <c r="Q79" s="176"/>
      <c r="R79" s="176"/>
      <c r="S79" s="176"/>
      <c r="T79" s="176"/>
      <c r="U79" s="176"/>
      <c r="V79" s="176"/>
      <c r="W79" s="176"/>
      <c r="X79" s="176"/>
      <c r="Y79" s="176"/>
      <c r="Z79" s="176"/>
      <c r="AA79" s="176"/>
      <c r="AB79" s="176"/>
      <c r="AC79" s="176"/>
    </row>
    <row r="80" spans="1:29" s="78" customFormat="1" x14ac:dyDescent="0.3">
      <c r="A80" s="169"/>
      <c r="B80" s="176"/>
      <c r="C80" s="176"/>
      <c r="D80" s="176"/>
      <c r="E80" s="176"/>
      <c r="F80" s="176"/>
      <c r="G80" s="176"/>
      <c r="H80" s="176"/>
      <c r="I80" s="176"/>
      <c r="J80" s="176"/>
      <c r="K80" s="176"/>
      <c r="L80" s="176"/>
      <c r="M80" s="176"/>
      <c r="N80" s="176"/>
      <c r="O80" s="176"/>
      <c r="P80" s="176"/>
      <c r="Q80" s="176"/>
      <c r="R80" s="176"/>
      <c r="S80" s="176"/>
      <c r="T80" s="176"/>
      <c r="U80" s="176"/>
      <c r="V80" s="176"/>
      <c r="W80" s="176"/>
      <c r="X80" s="176"/>
      <c r="Y80" s="176"/>
      <c r="Z80" s="176"/>
      <c r="AA80" s="176"/>
      <c r="AB80" s="176"/>
      <c r="AC80" s="176"/>
    </row>
    <row r="81" spans="1:29" s="78" customFormat="1" x14ac:dyDescent="0.3">
      <c r="A81" s="169"/>
      <c r="B81" s="176"/>
      <c r="C81" s="176"/>
      <c r="D81" s="176"/>
      <c r="E81" s="176"/>
      <c r="F81" s="176"/>
      <c r="G81" s="176"/>
      <c r="H81" s="176"/>
      <c r="I81" s="176"/>
      <c r="J81" s="176"/>
      <c r="K81" s="176"/>
      <c r="L81" s="176"/>
      <c r="M81" s="176"/>
      <c r="N81" s="176"/>
      <c r="O81" s="176"/>
      <c r="P81" s="176"/>
      <c r="Q81" s="176"/>
      <c r="R81" s="176"/>
      <c r="S81" s="176"/>
      <c r="T81" s="176"/>
      <c r="U81" s="176"/>
      <c r="V81" s="176"/>
      <c r="W81" s="176"/>
      <c r="X81" s="176"/>
      <c r="Y81" s="176"/>
      <c r="Z81" s="176"/>
      <c r="AA81" s="176"/>
      <c r="AB81" s="176"/>
      <c r="AC81" s="176"/>
    </row>
    <row r="82" spans="1:29" s="78" customFormat="1" x14ac:dyDescent="0.3">
      <c r="A82" s="169"/>
      <c r="B82" s="176"/>
      <c r="C82" s="176"/>
      <c r="D82" s="176"/>
      <c r="E82" s="176"/>
      <c r="F82" s="176"/>
      <c r="G82" s="176"/>
      <c r="H82" s="176"/>
      <c r="I82" s="176"/>
      <c r="J82" s="176"/>
      <c r="K82" s="176"/>
      <c r="L82" s="176"/>
      <c r="M82" s="176"/>
      <c r="N82" s="176"/>
      <c r="O82" s="176"/>
      <c r="P82" s="176"/>
      <c r="Q82" s="176"/>
      <c r="R82" s="176"/>
      <c r="S82" s="176"/>
      <c r="T82" s="176"/>
      <c r="U82" s="176"/>
      <c r="V82" s="176"/>
      <c r="W82" s="176"/>
      <c r="X82" s="176"/>
      <c r="Y82" s="176"/>
      <c r="Z82" s="176"/>
      <c r="AA82" s="176"/>
      <c r="AB82" s="176"/>
      <c r="AC82" s="176"/>
    </row>
    <row r="83" spans="1:29" s="78" customFormat="1" x14ac:dyDescent="0.3">
      <c r="A83" s="169"/>
      <c r="B83" s="176"/>
      <c r="C83" s="176"/>
      <c r="D83" s="176"/>
      <c r="E83" s="176"/>
      <c r="F83" s="176"/>
      <c r="G83" s="176"/>
      <c r="H83" s="176"/>
      <c r="I83" s="176"/>
      <c r="J83" s="176"/>
      <c r="K83" s="176"/>
      <c r="L83" s="176"/>
      <c r="M83" s="176"/>
      <c r="N83" s="176"/>
      <c r="O83" s="176"/>
      <c r="P83" s="176"/>
      <c r="Q83" s="176"/>
      <c r="R83" s="176"/>
      <c r="S83" s="176"/>
      <c r="T83" s="176"/>
      <c r="U83" s="176"/>
      <c r="V83" s="176"/>
      <c r="W83" s="176"/>
      <c r="X83" s="176"/>
      <c r="Y83" s="176"/>
      <c r="Z83" s="176"/>
      <c r="AA83" s="176"/>
      <c r="AB83" s="176"/>
      <c r="AC83" s="176"/>
    </row>
    <row r="84" spans="1:29" s="78" customFormat="1" x14ac:dyDescent="0.3">
      <c r="A84" s="169"/>
      <c r="B84" s="176"/>
      <c r="C84" s="176"/>
      <c r="D84" s="176"/>
      <c r="E84" s="176"/>
      <c r="F84" s="176"/>
      <c r="G84" s="176"/>
      <c r="H84" s="176"/>
      <c r="I84" s="176"/>
      <c r="J84" s="176"/>
      <c r="K84" s="176"/>
      <c r="L84" s="176"/>
      <c r="M84" s="176"/>
      <c r="N84" s="176"/>
      <c r="O84" s="176"/>
      <c r="P84" s="176"/>
      <c r="Q84" s="176"/>
      <c r="R84" s="176"/>
      <c r="S84" s="176"/>
      <c r="T84" s="176"/>
      <c r="U84" s="176"/>
      <c r="V84" s="176"/>
      <c r="W84" s="176"/>
      <c r="X84" s="176"/>
      <c r="Y84" s="176"/>
      <c r="Z84" s="176"/>
      <c r="AA84" s="176"/>
      <c r="AB84" s="176"/>
      <c r="AC84" s="176"/>
    </row>
    <row r="85" spans="1:29" s="78" customFormat="1" x14ac:dyDescent="0.3">
      <c r="A85" s="169"/>
      <c r="B85" s="176"/>
      <c r="C85" s="176"/>
      <c r="D85" s="176"/>
      <c r="E85" s="176"/>
      <c r="F85" s="176"/>
      <c r="G85" s="176"/>
      <c r="H85" s="176"/>
      <c r="I85" s="176"/>
      <c r="J85" s="176"/>
      <c r="K85" s="176"/>
      <c r="L85" s="176"/>
      <c r="M85" s="176"/>
      <c r="N85" s="176"/>
      <c r="O85" s="176"/>
      <c r="P85" s="176"/>
      <c r="Q85" s="176"/>
      <c r="R85" s="176"/>
      <c r="S85" s="176"/>
      <c r="T85" s="176"/>
      <c r="U85" s="176"/>
      <c r="V85" s="176"/>
      <c r="W85" s="176"/>
      <c r="X85" s="176"/>
      <c r="Y85" s="176"/>
      <c r="Z85" s="176"/>
      <c r="AA85" s="176"/>
      <c r="AB85" s="176"/>
      <c r="AC85" s="176"/>
    </row>
    <row r="86" spans="1:29" s="78" customFormat="1" x14ac:dyDescent="0.3">
      <c r="A86" s="169"/>
      <c r="B86" s="176"/>
      <c r="C86" s="176"/>
      <c r="D86" s="176"/>
      <c r="E86" s="176"/>
      <c r="F86" s="176"/>
      <c r="G86" s="176"/>
      <c r="H86" s="176"/>
      <c r="I86" s="176"/>
      <c r="J86" s="176"/>
      <c r="K86" s="176"/>
      <c r="L86" s="176"/>
      <c r="M86" s="176"/>
      <c r="N86" s="176"/>
      <c r="O86" s="176"/>
      <c r="P86" s="176"/>
      <c r="Q86" s="176"/>
      <c r="R86" s="176"/>
      <c r="S86" s="176"/>
      <c r="T86" s="176"/>
      <c r="U86" s="176"/>
      <c r="V86" s="176"/>
      <c r="W86" s="176"/>
      <c r="X86" s="176"/>
      <c r="Y86" s="176"/>
      <c r="Z86" s="176"/>
      <c r="AA86" s="176"/>
      <c r="AB86" s="176"/>
      <c r="AC86" s="176"/>
    </row>
    <row r="87" spans="1:29" s="78" customFormat="1" x14ac:dyDescent="0.3">
      <c r="A87" s="169"/>
      <c r="B87" s="176"/>
      <c r="C87" s="176"/>
      <c r="D87" s="176"/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6"/>
      <c r="Q87" s="176"/>
      <c r="R87" s="176"/>
      <c r="S87" s="176"/>
      <c r="T87" s="176"/>
      <c r="U87" s="176"/>
      <c r="V87" s="176"/>
      <c r="W87" s="176"/>
      <c r="X87" s="176"/>
      <c r="Y87" s="176"/>
      <c r="Z87" s="176"/>
      <c r="AA87" s="176"/>
      <c r="AB87" s="176"/>
      <c r="AC87" s="176"/>
    </row>
    <row r="88" spans="1:29" s="78" customFormat="1" x14ac:dyDescent="0.3">
      <c r="A88" s="169"/>
      <c r="B88" s="176"/>
      <c r="C88" s="176"/>
      <c r="D88" s="176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6"/>
      <c r="Q88" s="176"/>
      <c r="R88" s="176"/>
      <c r="S88" s="176"/>
      <c r="T88" s="176"/>
      <c r="U88" s="176"/>
      <c r="V88" s="176"/>
      <c r="W88" s="176"/>
      <c r="X88" s="176"/>
      <c r="Y88" s="176"/>
      <c r="Z88" s="176"/>
      <c r="AA88" s="176"/>
      <c r="AB88" s="176"/>
      <c r="AC88" s="176"/>
    </row>
    <row r="89" spans="1:29" s="12" customFormat="1" x14ac:dyDescent="0.3">
      <c r="A89" s="169"/>
      <c r="B89" s="169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69"/>
      <c r="Q89" s="169"/>
      <c r="R89" s="169"/>
      <c r="S89" s="169"/>
      <c r="T89" s="169"/>
      <c r="U89" s="169"/>
      <c r="V89" s="169"/>
      <c r="W89" s="169"/>
      <c r="X89" s="169"/>
      <c r="Y89" s="169"/>
      <c r="Z89" s="169"/>
      <c r="AA89" s="169"/>
      <c r="AB89" s="169"/>
      <c r="AC89" s="169"/>
    </row>
    <row r="90" spans="1:29" s="12" customFormat="1" x14ac:dyDescent="0.3">
      <c r="A90" s="169"/>
      <c r="B90" s="176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6"/>
      <c r="Q90" s="176"/>
      <c r="R90" s="176"/>
      <c r="S90" s="176"/>
      <c r="T90" s="176"/>
      <c r="U90" s="176"/>
      <c r="V90" s="176"/>
      <c r="W90" s="176"/>
      <c r="X90" s="176"/>
      <c r="Y90" s="176"/>
      <c r="Z90" s="176"/>
      <c r="AA90" s="176"/>
      <c r="AB90" s="176"/>
      <c r="AC90" s="176"/>
    </row>
    <row r="91" spans="1:29" s="12" customFormat="1" x14ac:dyDescent="0.3">
      <c r="A91" s="169"/>
      <c r="B91" s="176"/>
      <c r="C91" s="176"/>
      <c r="D91" s="176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6"/>
      <c r="Q91" s="176"/>
      <c r="R91" s="176"/>
      <c r="S91" s="176"/>
      <c r="T91" s="176"/>
      <c r="U91" s="176"/>
      <c r="V91" s="176"/>
      <c r="W91" s="176"/>
      <c r="X91" s="176"/>
      <c r="Y91" s="176"/>
      <c r="Z91" s="176"/>
      <c r="AA91" s="176"/>
      <c r="AB91" s="176"/>
      <c r="AC91" s="176"/>
    </row>
    <row r="92" spans="1:29" s="12" customFormat="1" x14ac:dyDescent="0.3">
      <c r="A92" s="169"/>
      <c r="B92" s="176"/>
      <c r="C92" s="176"/>
      <c r="D92" s="176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6"/>
      <c r="Q92" s="176"/>
      <c r="R92" s="176"/>
      <c r="S92" s="176"/>
      <c r="T92" s="176"/>
      <c r="U92" s="176"/>
      <c r="V92" s="176"/>
      <c r="W92" s="176"/>
      <c r="X92" s="176"/>
      <c r="Y92" s="176"/>
      <c r="Z92" s="176"/>
      <c r="AA92" s="176"/>
      <c r="AB92" s="176"/>
      <c r="AC92" s="176"/>
    </row>
    <row r="93" spans="1:29" s="12" customFormat="1" x14ac:dyDescent="0.3">
      <c r="A93" s="169"/>
      <c r="B93" s="176"/>
      <c r="C93" s="176"/>
      <c r="D93" s="176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6"/>
      <c r="Q93" s="176"/>
      <c r="R93" s="176"/>
      <c r="S93" s="176"/>
      <c r="T93" s="176"/>
      <c r="U93" s="176"/>
      <c r="V93" s="176"/>
      <c r="W93" s="176"/>
      <c r="X93" s="176"/>
      <c r="Y93" s="176"/>
      <c r="Z93" s="176"/>
      <c r="AA93" s="176"/>
      <c r="AB93" s="176"/>
      <c r="AC93" s="176"/>
    </row>
    <row r="94" spans="1:29" s="12" customFormat="1" x14ac:dyDescent="0.3">
      <c r="A94" s="169"/>
      <c r="B94" s="176"/>
      <c r="C94" s="176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6"/>
      <c r="Q94" s="176"/>
      <c r="R94" s="176"/>
      <c r="S94" s="176"/>
      <c r="T94" s="176"/>
      <c r="U94" s="176"/>
      <c r="V94" s="176"/>
      <c r="W94" s="176"/>
      <c r="X94" s="176"/>
      <c r="Y94" s="176"/>
      <c r="Z94" s="176"/>
      <c r="AA94" s="176"/>
      <c r="AB94" s="176"/>
      <c r="AC94" s="176"/>
    </row>
    <row r="95" spans="1:29" s="12" customFormat="1" x14ac:dyDescent="0.3">
      <c r="A95" s="169"/>
      <c r="B95" s="176"/>
      <c r="C95" s="176"/>
      <c r="D95" s="176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6"/>
      <c r="Q95" s="176"/>
      <c r="R95" s="176"/>
      <c r="S95" s="176"/>
      <c r="T95" s="176"/>
      <c r="U95" s="176"/>
      <c r="V95" s="176"/>
      <c r="W95" s="176"/>
      <c r="X95" s="176"/>
      <c r="Y95" s="176"/>
      <c r="Z95" s="176"/>
      <c r="AA95" s="176"/>
      <c r="AB95" s="176"/>
      <c r="AC95" s="176"/>
    </row>
    <row r="96" spans="1:29" s="12" customFormat="1" x14ac:dyDescent="0.3">
      <c r="A96" s="169"/>
      <c r="B96" s="176"/>
      <c r="C96" s="176"/>
      <c r="D96" s="176"/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6"/>
      <c r="Q96" s="176"/>
      <c r="R96" s="176"/>
      <c r="S96" s="176"/>
      <c r="T96" s="176"/>
      <c r="U96" s="176"/>
      <c r="V96" s="176"/>
      <c r="W96" s="176"/>
      <c r="X96" s="176"/>
      <c r="Y96" s="176"/>
      <c r="Z96" s="176"/>
      <c r="AA96" s="176"/>
      <c r="AB96" s="176"/>
      <c r="AC96" s="176"/>
    </row>
    <row r="97" spans="1:29" s="12" customFormat="1" x14ac:dyDescent="0.3">
      <c r="A97" s="169"/>
      <c r="B97" s="176"/>
      <c r="C97" s="176"/>
      <c r="D97" s="176"/>
      <c r="E97" s="176"/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176"/>
      <c r="Q97" s="176"/>
      <c r="R97" s="176"/>
      <c r="S97" s="176"/>
      <c r="T97" s="176"/>
      <c r="U97" s="176"/>
      <c r="V97" s="176"/>
      <c r="W97" s="176"/>
      <c r="X97" s="176"/>
      <c r="Y97" s="176"/>
      <c r="Z97" s="176"/>
      <c r="AA97" s="176"/>
      <c r="AB97" s="176"/>
      <c r="AC97" s="176"/>
    </row>
    <row r="98" spans="1:29" s="12" customFormat="1" x14ac:dyDescent="0.3">
      <c r="A98" s="169"/>
      <c r="B98" s="176"/>
      <c r="C98" s="176"/>
      <c r="D98" s="176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6"/>
      <c r="Q98" s="176"/>
      <c r="R98" s="176"/>
      <c r="S98" s="176"/>
      <c r="T98" s="176"/>
      <c r="U98" s="176"/>
      <c r="V98" s="176"/>
      <c r="W98" s="176"/>
      <c r="X98" s="176"/>
      <c r="Y98" s="176"/>
      <c r="Z98" s="176"/>
      <c r="AA98" s="176"/>
      <c r="AB98" s="176"/>
      <c r="AC98" s="176"/>
    </row>
    <row r="99" spans="1:29" s="12" customFormat="1" x14ac:dyDescent="0.3">
      <c r="A99" s="169"/>
      <c r="B99" s="176"/>
      <c r="C99" s="176"/>
      <c r="D99" s="176"/>
      <c r="E99" s="176"/>
      <c r="F99" s="176"/>
      <c r="G99" s="176"/>
      <c r="H99" s="176"/>
      <c r="I99" s="176"/>
      <c r="J99" s="176"/>
      <c r="K99" s="176"/>
      <c r="L99" s="176"/>
      <c r="M99" s="176"/>
      <c r="N99" s="176"/>
      <c r="O99" s="176"/>
      <c r="P99" s="176"/>
      <c r="Q99" s="176"/>
      <c r="R99" s="176"/>
      <c r="S99" s="176"/>
      <c r="T99" s="176"/>
      <c r="U99" s="176"/>
      <c r="V99" s="176"/>
      <c r="W99" s="176"/>
      <c r="X99" s="176"/>
      <c r="Y99" s="176"/>
      <c r="Z99" s="176"/>
      <c r="AA99" s="176"/>
      <c r="AB99" s="176"/>
      <c r="AC99" s="176"/>
    </row>
    <row r="100" spans="1:29" s="12" customFormat="1" x14ac:dyDescent="0.3">
      <c r="A100" s="169"/>
      <c r="B100" s="176"/>
      <c r="C100" s="176"/>
      <c r="D100" s="176"/>
      <c r="E100" s="176"/>
      <c r="F100" s="176"/>
      <c r="G100" s="176"/>
      <c r="H100" s="176"/>
      <c r="I100" s="176"/>
      <c r="J100" s="176"/>
      <c r="K100" s="176"/>
      <c r="L100" s="176"/>
      <c r="M100" s="176"/>
      <c r="N100" s="176"/>
      <c r="O100" s="176"/>
      <c r="P100" s="176"/>
      <c r="Q100" s="176"/>
      <c r="R100" s="176"/>
      <c r="S100" s="176"/>
      <c r="T100" s="176"/>
      <c r="U100" s="176"/>
      <c r="V100" s="176"/>
      <c r="W100" s="176"/>
      <c r="X100" s="176"/>
      <c r="Y100" s="176"/>
      <c r="Z100" s="176"/>
      <c r="AA100" s="176"/>
      <c r="AB100" s="176"/>
      <c r="AC100" s="176"/>
    </row>
    <row r="101" spans="1:29" s="12" customFormat="1" x14ac:dyDescent="0.3">
      <c r="A101" s="169"/>
      <c r="B101" s="176"/>
      <c r="C101" s="176"/>
      <c r="D101" s="176"/>
      <c r="E101" s="176"/>
      <c r="F101" s="176"/>
      <c r="G101" s="176"/>
      <c r="H101" s="176"/>
      <c r="I101" s="176"/>
      <c r="J101" s="176"/>
      <c r="K101" s="176"/>
      <c r="L101" s="176"/>
      <c r="M101" s="176"/>
      <c r="N101" s="176"/>
      <c r="O101" s="176"/>
      <c r="P101" s="176"/>
      <c r="Q101" s="176"/>
      <c r="R101" s="176"/>
      <c r="S101" s="176"/>
      <c r="T101" s="176"/>
      <c r="U101" s="176"/>
      <c r="V101" s="176"/>
      <c r="W101" s="176"/>
      <c r="X101" s="176"/>
      <c r="Y101" s="176"/>
      <c r="Z101" s="176"/>
      <c r="AA101" s="176"/>
      <c r="AB101" s="176"/>
      <c r="AC101" s="176"/>
    </row>
    <row r="102" spans="1:29" s="12" customFormat="1" x14ac:dyDescent="0.3">
      <c r="A102" s="169"/>
      <c r="B102" s="176"/>
      <c r="C102" s="176"/>
      <c r="D102" s="176"/>
      <c r="E102" s="176"/>
      <c r="F102" s="176"/>
      <c r="G102" s="176"/>
      <c r="H102" s="176"/>
      <c r="I102" s="176"/>
      <c r="J102" s="176"/>
      <c r="K102" s="176"/>
      <c r="L102" s="176"/>
      <c r="M102" s="176"/>
      <c r="N102" s="176"/>
      <c r="O102" s="176"/>
      <c r="P102" s="176"/>
      <c r="Q102" s="176"/>
      <c r="R102" s="176"/>
      <c r="S102" s="176"/>
      <c r="T102" s="176"/>
      <c r="U102" s="176"/>
      <c r="V102" s="176"/>
      <c r="W102" s="176"/>
      <c r="X102" s="176"/>
      <c r="Y102" s="176"/>
      <c r="Z102" s="176"/>
      <c r="AA102" s="176"/>
      <c r="AB102" s="176"/>
      <c r="AC102" s="176"/>
    </row>
    <row r="103" spans="1:29" s="12" customFormat="1" x14ac:dyDescent="0.3">
      <c r="A103" s="169"/>
      <c r="B103" s="176"/>
      <c r="C103" s="176"/>
      <c r="D103" s="176"/>
      <c r="E103" s="176"/>
      <c r="F103" s="176"/>
      <c r="G103" s="176"/>
      <c r="H103" s="176"/>
      <c r="I103" s="176"/>
      <c r="J103" s="176"/>
      <c r="K103" s="176"/>
      <c r="L103" s="176"/>
      <c r="M103" s="176"/>
      <c r="N103" s="176"/>
      <c r="O103" s="176"/>
      <c r="P103" s="176"/>
      <c r="Q103" s="176"/>
      <c r="R103" s="176"/>
      <c r="S103" s="176"/>
      <c r="T103" s="176"/>
      <c r="U103" s="176"/>
      <c r="V103" s="176"/>
      <c r="W103" s="176"/>
      <c r="X103" s="176"/>
      <c r="Y103" s="176"/>
      <c r="Z103" s="176"/>
      <c r="AA103" s="176"/>
      <c r="AB103" s="176"/>
      <c r="AC103" s="176"/>
    </row>
    <row r="104" spans="1:29" s="12" customFormat="1" x14ac:dyDescent="0.3">
      <c r="A104" s="169"/>
      <c r="B104" s="176"/>
      <c r="C104" s="176"/>
      <c r="D104" s="176"/>
      <c r="E104" s="176"/>
      <c r="F104" s="176"/>
      <c r="G104" s="176"/>
      <c r="H104" s="176"/>
      <c r="I104" s="176"/>
      <c r="J104" s="176"/>
      <c r="K104" s="176"/>
      <c r="L104" s="176"/>
      <c r="M104" s="176"/>
      <c r="N104" s="176"/>
      <c r="O104" s="176"/>
      <c r="P104" s="176"/>
      <c r="Q104" s="176"/>
      <c r="R104" s="176"/>
      <c r="S104" s="176"/>
      <c r="T104" s="176"/>
      <c r="U104" s="176"/>
      <c r="V104" s="176"/>
      <c r="W104" s="176"/>
      <c r="X104" s="176"/>
      <c r="Y104" s="176"/>
      <c r="Z104" s="176"/>
      <c r="AA104" s="176"/>
      <c r="AB104" s="176"/>
      <c r="AC104" s="176"/>
    </row>
    <row r="105" spans="1:29" s="12" customFormat="1" x14ac:dyDescent="0.3">
      <c r="A105" s="169"/>
      <c r="B105" s="176"/>
      <c r="C105" s="176"/>
      <c r="D105" s="176"/>
      <c r="E105" s="176"/>
      <c r="F105" s="176"/>
      <c r="G105" s="176"/>
      <c r="H105" s="176"/>
      <c r="I105" s="176"/>
      <c r="J105" s="176"/>
      <c r="K105" s="176"/>
      <c r="L105" s="176"/>
      <c r="M105" s="176"/>
      <c r="N105" s="176"/>
      <c r="O105" s="176"/>
      <c r="P105" s="176"/>
      <c r="Q105" s="176"/>
      <c r="R105" s="176"/>
      <c r="S105" s="176"/>
      <c r="T105" s="176"/>
      <c r="U105" s="176"/>
      <c r="V105" s="176"/>
      <c r="W105" s="176"/>
      <c r="X105" s="176"/>
      <c r="Y105" s="176"/>
      <c r="Z105" s="176"/>
      <c r="AA105" s="176"/>
      <c r="AB105" s="176"/>
      <c r="AC105" s="176"/>
    </row>
    <row r="106" spans="1:29" s="12" customFormat="1" x14ac:dyDescent="0.3">
      <c r="A106" s="169"/>
      <c r="B106" s="176"/>
      <c r="C106" s="176"/>
      <c r="D106" s="176"/>
      <c r="E106" s="176"/>
      <c r="F106" s="176"/>
      <c r="G106" s="176"/>
      <c r="H106" s="176"/>
      <c r="I106" s="176"/>
      <c r="J106" s="176"/>
      <c r="K106" s="176"/>
      <c r="L106" s="176"/>
      <c r="M106" s="176"/>
      <c r="N106" s="176"/>
      <c r="O106" s="176"/>
      <c r="P106" s="176"/>
      <c r="Q106" s="176"/>
      <c r="R106" s="176"/>
      <c r="S106" s="176"/>
      <c r="T106" s="176"/>
      <c r="U106" s="176"/>
      <c r="V106" s="176"/>
      <c r="W106" s="176"/>
      <c r="X106" s="176"/>
      <c r="Y106" s="176"/>
      <c r="Z106" s="176"/>
      <c r="AA106" s="176"/>
      <c r="AB106" s="176"/>
      <c r="AC106" s="176"/>
    </row>
    <row r="107" spans="1:29" s="12" customFormat="1" x14ac:dyDescent="0.3">
      <c r="A107" s="169"/>
      <c r="B107" s="176"/>
      <c r="C107" s="176"/>
      <c r="D107" s="176"/>
      <c r="E107" s="176"/>
      <c r="F107" s="176"/>
      <c r="G107" s="176"/>
      <c r="H107" s="176"/>
      <c r="I107" s="176"/>
      <c r="J107" s="176"/>
      <c r="K107" s="176"/>
      <c r="L107" s="176"/>
      <c r="M107" s="176"/>
      <c r="N107" s="176"/>
      <c r="O107" s="176"/>
      <c r="P107" s="176"/>
      <c r="Q107" s="176"/>
      <c r="R107" s="176"/>
      <c r="S107" s="176"/>
      <c r="T107" s="176"/>
      <c r="U107" s="176"/>
      <c r="V107" s="176"/>
      <c r="W107" s="176"/>
      <c r="X107" s="176"/>
      <c r="Y107" s="176"/>
      <c r="Z107" s="176"/>
      <c r="AA107" s="176"/>
      <c r="AB107" s="176"/>
      <c r="AC107" s="176"/>
    </row>
    <row r="108" spans="1:29" s="12" customFormat="1" x14ac:dyDescent="0.3">
      <c r="A108" s="169"/>
      <c r="B108" s="176"/>
      <c r="C108" s="176"/>
      <c r="D108" s="176"/>
      <c r="E108" s="176"/>
      <c r="F108" s="176"/>
      <c r="G108" s="176"/>
      <c r="H108" s="176"/>
      <c r="I108" s="176"/>
      <c r="J108" s="176"/>
      <c r="K108" s="176"/>
      <c r="L108" s="176"/>
      <c r="M108" s="176"/>
      <c r="N108" s="176"/>
      <c r="O108" s="176"/>
      <c r="P108" s="176"/>
      <c r="Q108" s="176"/>
      <c r="R108" s="176"/>
      <c r="S108" s="176"/>
      <c r="T108" s="176"/>
      <c r="U108" s="176"/>
      <c r="V108" s="176"/>
      <c r="W108" s="176"/>
      <c r="X108" s="176"/>
      <c r="Y108" s="176"/>
      <c r="Z108" s="176"/>
      <c r="AA108" s="176"/>
      <c r="AB108" s="176"/>
      <c r="AC108" s="176"/>
    </row>
    <row r="109" spans="1:29" s="12" customFormat="1" x14ac:dyDescent="0.3">
      <c r="A109" s="169"/>
      <c r="B109" s="176"/>
      <c r="C109" s="176"/>
      <c r="D109" s="176"/>
      <c r="E109" s="176"/>
      <c r="F109" s="176"/>
      <c r="G109" s="176"/>
      <c r="H109" s="176"/>
      <c r="I109" s="176"/>
      <c r="J109" s="176"/>
      <c r="K109" s="176"/>
      <c r="L109" s="176"/>
      <c r="M109" s="176"/>
      <c r="N109" s="176"/>
      <c r="O109" s="176"/>
      <c r="P109" s="176"/>
      <c r="Q109" s="176"/>
      <c r="R109" s="176"/>
      <c r="S109" s="176"/>
      <c r="T109" s="176"/>
      <c r="U109" s="176"/>
      <c r="V109" s="176"/>
      <c r="W109" s="176"/>
      <c r="X109" s="176"/>
      <c r="Y109" s="176"/>
      <c r="Z109" s="176"/>
      <c r="AA109" s="176"/>
      <c r="AB109" s="176"/>
      <c r="AC109" s="176"/>
    </row>
    <row r="110" spans="1:29" s="12" customFormat="1" x14ac:dyDescent="0.3">
      <c r="A110" s="169"/>
      <c r="B110" s="176"/>
      <c r="C110" s="176"/>
      <c r="D110" s="176"/>
      <c r="E110" s="176"/>
      <c r="F110" s="176"/>
      <c r="G110" s="176"/>
      <c r="H110" s="176"/>
      <c r="I110" s="176"/>
      <c r="J110" s="176"/>
      <c r="K110" s="176"/>
      <c r="L110" s="176"/>
      <c r="M110" s="176"/>
      <c r="N110" s="176"/>
      <c r="O110" s="176"/>
      <c r="P110" s="176"/>
      <c r="Q110" s="176"/>
      <c r="R110" s="176"/>
      <c r="S110" s="176"/>
      <c r="T110" s="176"/>
      <c r="U110" s="176"/>
      <c r="V110" s="176"/>
      <c r="W110" s="176"/>
      <c r="X110" s="176"/>
      <c r="Y110" s="176"/>
      <c r="Z110" s="176"/>
      <c r="AA110" s="176"/>
      <c r="AB110" s="176"/>
      <c r="AC110" s="176"/>
    </row>
    <row r="111" spans="1:29" s="12" customFormat="1" x14ac:dyDescent="0.3">
      <c r="A111" s="169"/>
      <c r="B111" s="176"/>
      <c r="C111" s="176"/>
      <c r="D111" s="176"/>
      <c r="E111" s="176"/>
      <c r="F111" s="176"/>
      <c r="G111" s="176"/>
      <c r="H111" s="176"/>
      <c r="I111" s="176"/>
      <c r="J111" s="176"/>
      <c r="K111" s="176"/>
      <c r="L111" s="176"/>
      <c r="M111" s="176"/>
      <c r="N111" s="176"/>
      <c r="O111" s="176"/>
      <c r="P111" s="176"/>
      <c r="Q111" s="176"/>
      <c r="R111" s="176"/>
      <c r="S111" s="176"/>
      <c r="T111" s="176"/>
      <c r="U111" s="176"/>
      <c r="V111" s="176"/>
      <c r="W111" s="176"/>
      <c r="X111" s="176"/>
      <c r="Y111" s="176"/>
      <c r="Z111" s="176"/>
      <c r="AA111" s="176"/>
      <c r="AB111" s="176"/>
      <c r="AC111" s="176"/>
    </row>
    <row r="112" spans="1:29" s="12" customFormat="1" x14ac:dyDescent="0.3">
      <c r="A112" s="169"/>
      <c r="B112" s="176"/>
      <c r="C112" s="176"/>
      <c r="D112" s="176"/>
      <c r="E112" s="176"/>
      <c r="F112" s="176"/>
      <c r="G112" s="176"/>
      <c r="H112" s="176"/>
      <c r="I112" s="176"/>
      <c r="J112" s="176"/>
      <c r="K112" s="176"/>
      <c r="L112" s="176"/>
      <c r="M112" s="176"/>
      <c r="N112" s="176"/>
      <c r="O112" s="176"/>
      <c r="P112" s="176"/>
      <c r="Q112" s="176"/>
      <c r="R112" s="176"/>
      <c r="S112" s="176"/>
      <c r="T112" s="176"/>
      <c r="U112" s="176"/>
      <c r="V112" s="176"/>
      <c r="W112" s="176"/>
      <c r="X112" s="176"/>
      <c r="Y112" s="176"/>
      <c r="Z112" s="176"/>
      <c r="AA112" s="176"/>
      <c r="AB112" s="176"/>
      <c r="AC112" s="176"/>
    </row>
    <row r="113" spans="1:29" s="12" customFormat="1" x14ac:dyDescent="0.3">
      <c r="A113" s="169"/>
      <c r="B113" s="176"/>
      <c r="C113" s="176"/>
      <c r="D113" s="176"/>
      <c r="E113" s="176"/>
      <c r="F113" s="176"/>
      <c r="G113" s="176"/>
      <c r="H113" s="176"/>
      <c r="I113" s="176"/>
      <c r="J113" s="176"/>
      <c r="K113" s="176"/>
      <c r="L113" s="176"/>
      <c r="M113" s="176"/>
      <c r="N113" s="176"/>
      <c r="O113" s="176"/>
      <c r="P113" s="176"/>
      <c r="Q113" s="176"/>
      <c r="R113" s="176"/>
      <c r="S113" s="176"/>
      <c r="T113" s="176"/>
      <c r="U113" s="176"/>
      <c r="V113" s="176"/>
      <c r="W113" s="176"/>
      <c r="X113" s="176"/>
      <c r="Y113" s="176"/>
      <c r="Z113" s="176"/>
      <c r="AA113" s="176"/>
      <c r="AB113" s="176"/>
      <c r="AC113" s="176"/>
    </row>
    <row r="114" spans="1:29" s="12" customFormat="1" x14ac:dyDescent="0.3">
      <c r="A114" s="169"/>
      <c r="B114" s="176"/>
      <c r="C114" s="176"/>
      <c r="D114" s="176"/>
      <c r="E114" s="176"/>
      <c r="F114" s="176"/>
      <c r="G114" s="176"/>
      <c r="H114" s="176"/>
      <c r="I114" s="176"/>
      <c r="J114" s="176"/>
      <c r="K114" s="176"/>
      <c r="L114" s="176"/>
      <c r="M114" s="176"/>
      <c r="N114" s="176"/>
      <c r="O114" s="176"/>
      <c r="P114" s="176"/>
      <c r="Q114" s="176"/>
      <c r="R114" s="176"/>
      <c r="S114" s="176"/>
      <c r="T114" s="176"/>
      <c r="U114" s="176"/>
      <c r="V114" s="176"/>
      <c r="W114" s="176"/>
      <c r="X114" s="176"/>
      <c r="Y114" s="176"/>
      <c r="Z114" s="176"/>
      <c r="AA114" s="176"/>
      <c r="AB114" s="176"/>
      <c r="AC114" s="176"/>
    </row>
    <row r="115" spans="1:29" s="12" customFormat="1" x14ac:dyDescent="0.3">
      <c r="A115" s="169"/>
      <c r="B115" s="176"/>
      <c r="C115" s="176"/>
      <c r="D115" s="176"/>
      <c r="E115" s="176"/>
      <c r="F115" s="176"/>
      <c r="G115" s="176"/>
      <c r="H115" s="176"/>
      <c r="I115" s="176"/>
      <c r="J115" s="176"/>
      <c r="K115" s="176"/>
      <c r="L115" s="176"/>
      <c r="M115" s="176"/>
      <c r="N115" s="176"/>
      <c r="O115" s="176"/>
      <c r="P115" s="176"/>
      <c r="Q115" s="176"/>
      <c r="R115" s="176"/>
      <c r="S115" s="176"/>
      <c r="T115" s="176"/>
      <c r="U115" s="176"/>
      <c r="V115" s="176"/>
      <c r="W115" s="176"/>
      <c r="X115" s="176"/>
      <c r="Y115" s="176"/>
      <c r="Z115" s="176"/>
      <c r="AA115" s="176"/>
      <c r="AB115" s="176"/>
      <c r="AC115" s="176"/>
    </row>
    <row r="116" spans="1:29" s="12" customFormat="1" x14ac:dyDescent="0.3">
      <c r="A116" s="169"/>
      <c r="B116" s="176"/>
      <c r="C116" s="176"/>
      <c r="D116" s="176"/>
      <c r="E116" s="176"/>
      <c r="F116" s="176"/>
      <c r="G116" s="176"/>
      <c r="H116" s="176"/>
      <c r="I116" s="176"/>
      <c r="J116" s="176"/>
      <c r="K116" s="176"/>
      <c r="L116" s="176"/>
      <c r="M116" s="176"/>
      <c r="N116" s="176"/>
      <c r="O116" s="176"/>
      <c r="P116" s="176"/>
      <c r="Q116" s="176"/>
      <c r="R116" s="176"/>
      <c r="S116" s="176"/>
      <c r="T116" s="176"/>
      <c r="U116" s="176"/>
      <c r="V116" s="176"/>
      <c r="W116" s="176"/>
      <c r="X116" s="176"/>
      <c r="Y116" s="176"/>
      <c r="Z116" s="176"/>
      <c r="AA116" s="176"/>
      <c r="AB116" s="176"/>
      <c r="AC116" s="176"/>
    </row>
    <row r="117" spans="1:29" s="12" customFormat="1" x14ac:dyDescent="0.3">
      <c r="A117" s="169"/>
      <c r="B117" s="176"/>
      <c r="C117" s="176"/>
      <c r="D117" s="176"/>
      <c r="E117" s="176"/>
      <c r="F117" s="176"/>
      <c r="G117" s="176"/>
      <c r="H117" s="176"/>
      <c r="I117" s="176"/>
      <c r="J117" s="176"/>
      <c r="K117" s="176"/>
      <c r="L117" s="176"/>
      <c r="M117" s="176"/>
      <c r="N117" s="176"/>
      <c r="O117" s="176"/>
      <c r="P117" s="176"/>
      <c r="Q117" s="176"/>
      <c r="R117" s="176"/>
      <c r="S117" s="176"/>
      <c r="T117" s="176"/>
      <c r="U117" s="176"/>
      <c r="V117" s="176"/>
      <c r="W117" s="176"/>
      <c r="X117" s="176"/>
      <c r="Y117" s="176"/>
      <c r="Z117" s="176"/>
      <c r="AA117" s="176"/>
      <c r="AB117" s="176"/>
      <c r="AC117" s="176"/>
    </row>
    <row r="118" spans="1:29" s="12" customFormat="1" x14ac:dyDescent="0.3">
      <c r="A118" s="169"/>
      <c r="B118" s="176"/>
      <c r="C118" s="176"/>
      <c r="D118" s="176"/>
      <c r="E118" s="176"/>
      <c r="F118" s="176"/>
      <c r="G118" s="176"/>
      <c r="H118" s="176"/>
      <c r="I118" s="176"/>
      <c r="J118" s="176"/>
      <c r="K118" s="176"/>
      <c r="L118" s="176"/>
      <c r="M118" s="176"/>
      <c r="N118" s="176"/>
      <c r="O118" s="176"/>
      <c r="P118" s="176"/>
      <c r="Q118" s="176"/>
      <c r="R118" s="176"/>
      <c r="S118" s="176"/>
      <c r="T118" s="176"/>
      <c r="U118" s="176"/>
      <c r="V118" s="176"/>
      <c r="W118" s="176"/>
      <c r="X118" s="176"/>
      <c r="Y118" s="176"/>
      <c r="Z118" s="176"/>
      <c r="AA118" s="176"/>
      <c r="AB118" s="176"/>
      <c r="AC118" s="176"/>
    </row>
    <row r="119" spans="1:29" s="12" customFormat="1" x14ac:dyDescent="0.3">
      <c r="A119" s="169"/>
      <c r="B119" s="176"/>
      <c r="C119" s="176"/>
      <c r="D119" s="176"/>
      <c r="E119" s="176"/>
      <c r="F119" s="176"/>
      <c r="G119" s="176"/>
      <c r="H119" s="176"/>
      <c r="I119" s="176"/>
      <c r="J119" s="176"/>
      <c r="K119" s="176"/>
      <c r="L119" s="176"/>
      <c r="M119" s="176"/>
      <c r="N119" s="176"/>
      <c r="O119" s="176"/>
      <c r="P119" s="176"/>
      <c r="Q119" s="176"/>
      <c r="R119" s="176"/>
      <c r="S119" s="176"/>
      <c r="T119" s="176"/>
      <c r="U119" s="176"/>
      <c r="V119" s="176"/>
      <c r="W119" s="176"/>
      <c r="X119" s="176"/>
      <c r="Y119" s="176"/>
      <c r="Z119" s="176"/>
      <c r="AA119" s="176"/>
      <c r="AB119" s="176"/>
      <c r="AC119" s="176"/>
    </row>
    <row r="120" spans="1:29" s="12" customFormat="1" x14ac:dyDescent="0.3">
      <c r="A120" s="169"/>
      <c r="B120" s="176"/>
      <c r="C120" s="176"/>
      <c r="D120" s="176"/>
      <c r="E120" s="176"/>
      <c r="F120" s="176"/>
      <c r="G120" s="176"/>
      <c r="H120" s="176"/>
      <c r="I120" s="176"/>
      <c r="J120" s="176"/>
      <c r="K120" s="176"/>
      <c r="L120" s="176"/>
      <c r="M120" s="176"/>
      <c r="N120" s="176"/>
      <c r="O120" s="176"/>
      <c r="P120" s="176"/>
      <c r="Q120" s="176"/>
      <c r="R120" s="176"/>
      <c r="S120" s="176"/>
      <c r="T120" s="176"/>
      <c r="U120" s="176"/>
      <c r="V120" s="176"/>
      <c r="W120" s="176"/>
      <c r="X120" s="176"/>
      <c r="Y120" s="176"/>
      <c r="Z120" s="176"/>
      <c r="AA120" s="176"/>
      <c r="AB120" s="176"/>
      <c r="AC120" s="176"/>
    </row>
    <row r="121" spans="1:29" s="12" customFormat="1" x14ac:dyDescent="0.3">
      <c r="A121" s="169"/>
      <c r="B121" s="176"/>
      <c r="C121" s="176"/>
      <c r="D121" s="176"/>
      <c r="E121" s="176"/>
      <c r="F121" s="176"/>
      <c r="G121" s="176"/>
      <c r="H121" s="176"/>
      <c r="I121" s="176"/>
      <c r="J121" s="176"/>
      <c r="K121" s="176"/>
      <c r="L121" s="176"/>
      <c r="M121" s="176"/>
      <c r="N121" s="176"/>
      <c r="O121" s="176"/>
      <c r="P121" s="176"/>
      <c r="Q121" s="176"/>
      <c r="R121" s="176"/>
      <c r="S121" s="176"/>
      <c r="T121" s="176"/>
      <c r="U121" s="176"/>
      <c r="V121" s="176"/>
      <c r="W121" s="176"/>
      <c r="X121" s="176"/>
      <c r="Y121" s="176"/>
      <c r="Z121" s="176"/>
      <c r="AA121" s="176"/>
      <c r="AB121" s="176"/>
      <c r="AC121" s="176"/>
    </row>
    <row r="122" spans="1:29" s="12" customFormat="1" x14ac:dyDescent="0.3">
      <c r="A122" s="169"/>
      <c r="B122" s="176"/>
      <c r="C122" s="176"/>
      <c r="D122" s="176"/>
      <c r="E122" s="176"/>
      <c r="F122" s="176"/>
      <c r="G122" s="176"/>
      <c r="H122" s="176"/>
      <c r="I122" s="176"/>
      <c r="J122" s="176"/>
      <c r="K122" s="176"/>
      <c r="L122" s="176"/>
      <c r="M122" s="176"/>
      <c r="N122" s="176"/>
      <c r="O122" s="176"/>
      <c r="P122" s="176"/>
      <c r="Q122" s="176"/>
      <c r="R122" s="176"/>
      <c r="S122" s="176"/>
      <c r="T122" s="176"/>
      <c r="U122" s="176"/>
      <c r="V122" s="176"/>
      <c r="W122" s="176"/>
      <c r="X122" s="176"/>
      <c r="Y122" s="176"/>
      <c r="Z122" s="176"/>
      <c r="AA122" s="176"/>
      <c r="AB122" s="176"/>
      <c r="AC122" s="176"/>
    </row>
    <row r="123" spans="1:29" s="12" customFormat="1" x14ac:dyDescent="0.3">
      <c r="A123" s="169"/>
      <c r="B123" s="176"/>
      <c r="C123" s="176"/>
      <c r="D123" s="176"/>
      <c r="E123" s="176"/>
      <c r="F123" s="176"/>
      <c r="G123" s="176"/>
      <c r="H123" s="176"/>
      <c r="I123" s="176"/>
      <c r="J123" s="176"/>
      <c r="K123" s="176"/>
      <c r="L123" s="176"/>
      <c r="M123" s="176"/>
      <c r="N123" s="176"/>
      <c r="O123" s="176"/>
      <c r="P123" s="176"/>
      <c r="Q123" s="176"/>
      <c r="R123" s="176"/>
      <c r="S123" s="176"/>
      <c r="T123" s="176"/>
      <c r="U123" s="176"/>
      <c r="V123" s="176"/>
      <c r="W123" s="176"/>
      <c r="X123" s="176"/>
      <c r="Y123" s="176"/>
      <c r="Z123" s="176"/>
      <c r="AA123" s="176"/>
      <c r="AB123" s="176"/>
      <c r="AC123" s="176"/>
    </row>
    <row r="124" spans="1:29" s="12" customFormat="1" x14ac:dyDescent="0.3">
      <c r="A124" s="169"/>
      <c r="B124" s="176"/>
      <c r="C124" s="176"/>
      <c r="D124" s="176"/>
      <c r="E124" s="176"/>
      <c r="F124" s="176"/>
      <c r="G124" s="176"/>
      <c r="H124" s="176"/>
      <c r="I124" s="176"/>
      <c r="J124" s="176"/>
      <c r="K124" s="176"/>
      <c r="L124" s="176"/>
      <c r="M124" s="176"/>
      <c r="N124" s="176"/>
      <c r="O124" s="176"/>
      <c r="P124" s="176"/>
      <c r="Q124" s="176"/>
      <c r="R124" s="176"/>
      <c r="S124" s="176"/>
      <c r="T124" s="176"/>
      <c r="U124" s="176"/>
      <c r="V124" s="176"/>
      <c r="W124" s="176"/>
      <c r="X124" s="176"/>
      <c r="Y124" s="176"/>
      <c r="Z124" s="176"/>
      <c r="AA124" s="176"/>
      <c r="AB124" s="176"/>
      <c r="AC124" s="176"/>
    </row>
    <row r="125" spans="1:29" s="12" customFormat="1" x14ac:dyDescent="0.3">
      <c r="A125" s="169"/>
      <c r="B125" s="176"/>
      <c r="C125" s="176"/>
      <c r="D125" s="176"/>
      <c r="E125" s="176"/>
      <c r="F125" s="176"/>
      <c r="G125" s="176"/>
      <c r="H125" s="176"/>
      <c r="I125" s="176"/>
      <c r="J125" s="176"/>
      <c r="K125" s="176"/>
      <c r="L125" s="176"/>
      <c r="M125" s="176"/>
      <c r="N125" s="176"/>
      <c r="O125" s="176"/>
      <c r="P125" s="176"/>
      <c r="Q125" s="176"/>
      <c r="R125" s="176"/>
      <c r="S125" s="176"/>
      <c r="T125" s="176"/>
      <c r="U125" s="176"/>
      <c r="V125" s="176"/>
      <c r="W125" s="176"/>
      <c r="X125" s="176"/>
      <c r="Y125" s="176"/>
      <c r="Z125" s="176"/>
      <c r="AA125" s="176"/>
      <c r="AB125" s="176"/>
      <c r="AC125" s="176"/>
    </row>
    <row r="126" spans="1:29" s="12" customFormat="1" x14ac:dyDescent="0.3">
      <c r="A126" s="169"/>
      <c r="B126" s="176"/>
      <c r="C126" s="176"/>
      <c r="D126" s="176"/>
      <c r="E126" s="176"/>
      <c r="F126" s="176"/>
      <c r="G126" s="176"/>
      <c r="H126" s="176"/>
      <c r="I126" s="176"/>
      <c r="J126" s="176"/>
      <c r="K126" s="176"/>
      <c r="L126" s="176"/>
      <c r="M126" s="176"/>
      <c r="N126" s="176"/>
      <c r="O126" s="176"/>
      <c r="P126" s="176"/>
      <c r="Q126" s="176"/>
      <c r="R126" s="176"/>
      <c r="S126" s="176"/>
      <c r="T126" s="176"/>
      <c r="U126" s="176"/>
      <c r="V126" s="176"/>
      <c r="W126" s="176"/>
      <c r="X126" s="176"/>
      <c r="Y126" s="176"/>
      <c r="Z126" s="176"/>
      <c r="AA126" s="176"/>
      <c r="AB126" s="176"/>
      <c r="AC126" s="176"/>
    </row>
    <row r="127" spans="1:29" s="12" customFormat="1" x14ac:dyDescent="0.3">
      <c r="A127" s="169"/>
      <c r="B127" s="176"/>
      <c r="C127" s="176"/>
      <c r="D127" s="176"/>
      <c r="E127" s="176"/>
      <c r="F127" s="176"/>
      <c r="G127" s="176"/>
      <c r="H127" s="176"/>
      <c r="I127" s="176"/>
      <c r="J127" s="176"/>
      <c r="K127" s="176"/>
      <c r="L127" s="176"/>
      <c r="M127" s="176"/>
      <c r="N127" s="176"/>
      <c r="O127" s="176"/>
      <c r="P127" s="176"/>
      <c r="Q127" s="176"/>
      <c r="R127" s="176"/>
      <c r="S127" s="176"/>
      <c r="T127" s="176"/>
      <c r="U127" s="176"/>
      <c r="V127" s="176"/>
      <c r="W127" s="176"/>
      <c r="X127" s="176"/>
      <c r="Y127" s="176"/>
      <c r="Z127" s="176"/>
      <c r="AA127" s="176"/>
      <c r="AB127" s="176"/>
      <c r="AC127" s="176"/>
    </row>
    <row r="128" spans="1:29" s="12" customFormat="1" x14ac:dyDescent="0.3">
      <c r="A128" s="169"/>
      <c r="B128" s="176"/>
      <c r="C128" s="176"/>
      <c r="D128" s="176"/>
      <c r="E128" s="176"/>
      <c r="F128" s="176"/>
      <c r="G128" s="176"/>
      <c r="H128" s="176"/>
      <c r="I128" s="176"/>
      <c r="J128" s="176"/>
      <c r="K128" s="176"/>
      <c r="L128" s="176"/>
      <c r="M128" s="176"/>
      <c r="N128" s="176"/>
      <c r="O128" s="176"/>
      <c r="P128" s="176"/>
      <c r="Q128" s="176"/>
      <c r="R128" s="176"/>
      <c r="S128" s="176"/>
      <c r="T128" s="176"/>
      <c r="U128" s="176"/>
      <c r="V128" s="176"/>
      <c r="W128" s="176"/>
      <c r="X128" s="176"/>
      <c r="Y128" s="176"/>
      <c r="Z128" s="176"/>
      <c r="AA128" s="176"/>
      <c r="AB128" s="176"/>
      <c r="AC128" s="176"/>
    </row>
    <row r="129" spans="1:29" s="12" customFormat="1" x14ac:dyDescent="0.3">
      <c r="A129" s="169"/>
      <c r="B129" s="176"/>
      <c r="C129" s="176"/>
      <c r="D129" s="176"/>
      <c r="E129" s="176"/>
      <c r="F129" s="176"/>
      <c r="G129" s="176"/>
      <c r="H129" s="176"/>
      <c r="I129" s="176"/>
      <c r="J129" s="176"/>
      <c r="K129" s="176"/>
      <c r="L129" s="176"/>
      <c r="M129" s="176"/>
      <c r="N129" s="176"/>
      <c r="O129" s="176"/>
      <c r="P129" s="176"/>
      <c r="Q129" s="176"/>
      <c r="R129" s="176"/>
      <c r="S129" s="176"/>
      <c r="T129" s="176"/>
      <c r="U129" s="176"/>
      <c r="V129" s="176"/>
      <c r="W129" s="176"/>
      <c r="X129" s="176"/>
      <c r="Y129" s="176"/>
      <c r="Z129" s="176"/>
      <c r="AA129" s="176"/>
      <c r="AB129" s="176"/>
      <c r="AC129" s="176"/>
    </row>
    <row r="130" spans="1:29" s="12" customFormat="1" x14ac:dyDescent="0.3">
      <c r="A130" s="169"/>
      <c r="B130" s="176"/>
      <c r="C130" s="176"/>
      <c r="D130" s="176"/>
      <c r="E130" s="176"/>
      <c r="F130" s="176"/>
      <c r="G130" s="176"/>
      <c r="H130" s="176"/>
      <c r="I130" s="176"/>
      <c r="J130" s="176"/>
      <c r="K130" s="176"/>
      <c r="L130" s="176"/>
      <c r="M130" s="176"/>
      <c r="N130" s="176"/>
      <c r="O130" s="176"/>
      <c r="P130" s="176"/>
      <c r="Q130" s="176"/>
      <c r="R130" s="176"/>
      <c r="S130" s="176"/>
      <c r="T130" s="176"/>
      <c r="U130" s="176"/>
      <c r="V130" s="176"/>
      <c r="W130" s="176"/>
      <c r="X130" s="176"/>
      <c r="Y130" s="176"/>
      <c r="Z130" s="176"/>
      <c r="AA130" s="176"/>
      <c r="AB130" s="176"/>
      <c r="AC130" s="176"/>
    </row>
    <row r="131" spans="1:29" s="12" customFormat="1" x14ac:dyDescent="0.3">
      <c r="A131" s="169"/>
      <c r="B131" s="176"/>
      <c r="C131" s="176"/>
      <c r="D131" s="176"/>
      <c r="E131" s="176"/>
      <c r="F131" s="176"/>
      <c r="G131" s="176"/>
      <c r="H131" s="176"/>
      <c r="I131" s="176"/>
      <c r="J131" s="176"/>
      <c r="K131" s="176"/>
      <c r="L131" s="176"/>
      <c r="M131" s="176"/>
      <c r="N131" s="176"/>
      <c r="O131" s="176"/>
      <c r="P131" s="176"/>
      <c r="Q131" s="176"/>
      <c r="R131" s="176"/>
      <c r="S131" s="176"/>
      <c r="T131" s="176"/>
      <c r="U131" s="176"/>
      <c r="V131" s="176"/>
      <c r="W131" s="176"/>
      <c r="X131" s="176"/>
      <c r="Y131" s="176"/>
      <c r="Z131" s="176"/>
      <c r="AA131" s="176"/>
      <c r="AB131" s="176"/>
      <c r="AC131" s="176"/>
    </row>
    <row r="132" spans="1:29" s="12" customFormat="1" x14ac:dyDescent="0.3">
      <c r="A132" s="169"/>
      <c r="B132" s="176"/>
      <c r="C132" s="176"/>
      <c r="D132" s="176"/>
      <c r="E132" s="176"/>
      <c r="F132" s="176"/>
      <c r="G132" s="176"/>
      <c r="H132" s="176"/>
      <c r="I132" s="176"/>
      <c r="J132" s="176"/>
      <c r="K132" s="176"/>
      <c r="L132" s="176"/>
      <c r="M132" s="176"/>
      <c r="N132" s="176"/>
      <c r="O132" s="176"/>
      <c r="P132" s="176"/>
      <c r="Q132" s="176"/>
      <c r="R132" s="176"/>
      <c r="S132" s="176"/>
      <c r="T132" s="176"/>
      <c r="U132" s="176"/>
      <c r="V132" s="176"/>
      <c r="W132" s="176"/>
      <c r="X132" s="176"/>
      <c r="Y132" s="176"/>
      <c r="Z132" s="176"/>
      <c r="AA132" s="176"/>
      <c r="AB132" s="176"/>
      <c r="AC132" s="176"/>
    </row>
    <row r="133" spans="1:29" s="12" customFormat="1" x14ac:dyDescent="0.3">
      <c r="A133" s="169"/>
      <c r="B133" s="176"/>
      <c r="C133" s="176"/>
      <c r="D133" s="176"/>
      <c r="E133" s="176"/>
      <c r="F133" s="176"/>
      <c r="G133" s="176"/>
      <c r="H133" s="176"/>
      <c r="I133" s="176"/>
      <c r="J133" s="176"/>
      <c r="K133" s="176"/>
      <c r="L133" s="176"/>
      <c r="M133" s="176"/>
      <c r="N133" s="176"/>
      <c r="O133" s="176"/>
      <c r="P133" s="176"/>
      <c r="Q133" s="176"/>
      <c r="R133" s="176"/>
      <c r="S133" s="176"/>
      <c r="T133" s="176"/>
      <c r="U133" s="176"/>
      <c r="V133" s="176"/>
      <c r="W133" s="176"/>
      <c r="X133" s="176"/>
      <c r="Y133" s="176"/>
      <c r="Z133" s="176"/>
      <c r="AA133" s="176"/>
      <c r="AB133" s="176"/>
      <c r="AC133" s="176"/>
    </row>
    <row r="134" spans="1:29" s="12" customFormat="1" x14ac:dyDescent="0.3">
      <c r="A134" s="169"/>
      <c r="B134" s="176"/>
      <c r="C134" s="176"/>
      <c r="D134" s="176"/>
      <c r="E134" s="176"/>
      <c r="F134" s="176"/>
      <c r="G134" s="176"/>
      <c r="H134" s="176"/>
      <c r="I134" s="176"/>
      <c r="J134" s="176"/>
      <c r="K134" s="176"/>
      <c r="L134" s="176"/>
      <c r="M134" s="176"/>
      <c r="N134" s="176"/>
      <c r="O134" s="176"/>
      <c r="P134" s="176"/>
      <c r="Q134" s="176"/>
      <c r="R134" s="176"/>
      <c r="S134" s="176"/>
      <c r="T134" s="176"/>
      <c r="U134" s="176"/>
      <c r="V134" s="176"/>
      <c r="W134" s="176"/>
      <c r="X134" s="176"/>
      <c r="Y134" s="176"/>
      <c r="Z134" s="176"/>
      <c r="AA134" s="176"/>
      <c r="AB134" s="176"/>
      <c r="AC134" s="176"/>
    </row>
    <row r="135" spans="1:29" s="12" customFormat="1" x14ac:dyDescent="0.3">
      <c r="A135" s="169"/>
      <c r="B135" s="176"/>
      <c r="C135" s="176"/>
      <c r="D135" s="176"/>
      <c r="E135" s="176"/>
      <c r="F135" s="176"/>
      <c r="G135" s="176"/>
      <c r="H135" s="176"/>
      <c r="I135" s="176"/>
      <c r="J135" s="176"/>
      <c r="K135" s="176"/>
      <c r="L135" s="176"/>
      <c r="M135" s="176"/>
      <c r="N135" s="176"/>
      <c r="O135" s="176"/>
      <c r="P135" s="176"/>
      <c r="Q135" s="176"/>
      <c r="R135" s="176"/>
      <c r="S135" s="176"/>
      <c r="T135" s="176"/>
      <c r="U135" s="176"/>
      <c r="V135" s="176"/>
      <c r="W135" s="176"/>
      <c r="X135" s="176"/>
      <c r="Y135" s="176"/>
      <c r="Z135" s="176"/>
      <c r="AA135" s="176"/>
      <c r="AB135" s="176"/>
      <c r="AC135" s="176"/>
    </row>
    <row r="136" spans="1:29" s="12" customFormat="1" x14ac:dyDescent="0.3">
      <c r="A136" s="169"/>
      <c r="B136" s="176"/>
      <c r="C136" s="176"/>
      <c r="D136" s="176"/>
      <c r="E136" s="176"/>
      <c r="F136" s="176"/>
      <c r="G136" s="176"/>
      <c r="H136" s="176"/>
      <c r="I136" s="176"/>
      <c r="J136" s="176"/>
      <c r="K136" s="176"/>
      <c r="L136" s="176"/>
      <c r="M136" s="176"/>
      <c r="N136" s="176"/>
      <c r="O136" s="176"/>
      <c r="P136" s="176"/>
      <c r="Q136" s="176"/>
      <c r="R136" s="176"/>
      <c r="S136" s="176"/>
      <c r="T136" s="176"/>
      <c r="U136" s="176"/>
      <c r="V136" s="176"/>
      <c r="W136" s="176"/>
      <c r="X136" s="176"/>
      <c r="Y136" s="176"/>
      <c r="Z136" s="176"/>
      <c r="AA136" s="176"/>
      <c r="AB136" s="176"/>
      <c r="AC136" s="176"/>
    </row>
    <row r="137" spans="1:29" s="12" customFormat="1" x14ac:dyDescent="0.3">
      <c r="A137" s="169"/>
      <c r="B137" s="176"/>
      <c r="C137" s="176"/>
      <c r="D137" s="176"/>
      <c r="E137" s="176"/>
      <c r="F137" s="176"/>
      <c r="G137" s="176"/>
      <c r="H137" s="176"/>
      <c r="I137" s="176"/>
      <c r="J137" s="176"/>
      <c r="K137" s="176"/>
      <c r="L137" s="176"/>
      <c r="M137" s="176"/>
      <c r="N137" s="176"/>
      <c r="O137" s="176"/>
      <c r="P137" s="176"/>
      <c r="Q137" s="176"/>
      <c r="R137" s="176"/>
      <c r="S137" s="176"/>
      <c r="T137" s="176"/>
      <c r="U137" s="176"/>
      <c r="V137" s="176"/>
      <c r="W137" s="176"/>
      <c r="X137" s="176"/>
      <c r="Y137" s="176"/>
      <c r="Z137" s="176"/>
      <c r="AA137" s="176"/>
      <c r="AB137" s="176"/>
      <c r="AC137" s="176"/>
    </row>
    <row r="138" spans="1:29" s="12" customFormat="1" x14ac:dyDescent="0.3">
      <c r="A138" s="169"/>
      <c r="B138" s="176"/>
      <c r="C138" s="176"/>
      <c r="D138" s="176"/>
      <c r="E138" s="176"/>
      <c r="F138" s="176"/>
      <c r="G138" s="176"/>
      <c r="H138" s="176"/>
      <c r="I138" s="176"/>
      <c r="J138" s="176"/>
      <c r="K138" s="176"/>
      <c r="L138" s="176"/>
      <c r="M138" s="176"/>
      <c r="N138" s="176"/>
      <c r="O138" s="176"/>
      <c r="P138" s="176"/>
      <c r="Q138" s="176"/>
      <c r="R138" s="176"/>
      <c r="S138" s="176"/>
      <c r="T138" s="176"/>
      <c r="U138" s="176"/>
      <c r="V138" s="176"/>
      <c r="W138" s="176"/>
      <c r="X138" s="176"/>
      <c r="Y138" s="176"/>
      <c r="Z138" s="176"/>
      <c r="AA138" s="176"/>
      <c r="AB138" s="176"/>
      <c r="AC138" s="176"/>
    </row>
    <row r="139" spans="1:29" s="12" customFormat="1" x14ac:dyDescent="0.3">
      <c r="A139" s="169"/>
      <c r="B139" s="176"/>
      <c r="C139" s="176"/>
      <c r="D139" s="176"/>
      <c r="E139" s="176"/>
      <c r="F139" s="176"/>
      <c r="G139" s="176"/>
      <c r="H139" s="176"/>
      <c r="I139" s="176"/>
      <c r="J139" s="176"/>
      <c r="K139" s="176"/>
      <c r="L139" s="176"/>
      <c r="M139" s="176"/>
      <c r="N139" s="176"/>
      <c r="O139" s="176"/>
      <c r="P139" s="176"/>
      <c r="Q139" s="176"/>
      <c r="R139" s="176"/>
      <c r="S139" s="176"/>
      <c r="T139" s="176"/>
      <c r="U139" s="176"/>
      <c r="V139" s="176"/>
      <c r="W139" s="176"/>
      <c r="X139" s="176"/>
      <c r="Y139" s="176"/>
      <c r="Z139" s="176"/>
      <c r="AA139" s="176"/>
      <c r="AB139" s="176"/>
      <c r="AC139" s="176"/>
    </row>
    <row r="140" spans="1:29" s="12" customFormat="1" x14ac:dyDescent="0.3">
      <c r="A140" s="169"/>
      <c r="B140" s="169"/>
      <c r="C140" s="169"/>
      <c r="D140" s="169"/>
      <c r="E140" s="169"/>
      <c r="F140" s="169"/>
      <c r="G140" s="169"/>
      <c r="H140" s="169"/>
      <c r="I140" s="169"/>
      <c r="J140" s="169"/>
      <c r="K140" s="169"/>
      <c r="L140" s="169"/>
      <c r="M140" s="169"/>
      <c r="N140" s="169"/>
      <c r="O140" s="169"/>
      <c r="P140" s="169"/>
      <c r="Q140" s="169"/>
      <c r="R140" s="169"/>
      <c r="S140" s="169"/>
      <c r="T140" s="169"/>
      <c r="U140" s="169"/>
      <c r="V140" s="169"/>
      <c r="W140" s="169"/>
      <c r="X140" s="169"/>
      <c r="Y140" s="169"/>
      <c r="Z140" s="169"/>
      <c r="AA140" s="169"/>
      <c r="AB140" s="169"/>
      <c r="AC140" s="169"/>
    </row>
    <row r="141" spans="1:29" s="12" customFormat="1" x14ac:dyDescent="0.3">
      <c r="A141" s="169"/>
      <c r="B141" s="169"/>
      <c r="C141" s="169"/>
      <c r="D141" s="169"/>
      <c r="E141" s="169"/>
      <c r="F141" s="169"/>
      <c r="G141" s="169"/>
      <c r="H141" s="169"/>
      <c r="I141" s="169"/>
      <c r="J141" s="169"/>
      <c r="K141" s="169"/>
      <c r="L141" s="169"/>
      <c r="M141" s="169"/>
      <c r="N141" s="169"/>
      <c r="O141" s="169"/>
      <c r="P141" s="169"/>
      <c r="Q141" s="169"/>
      <c r="R141" s="169"/>
      <c r="S141" s="169"/>
      <c r="T141" s="169"/>
      <c r="U141" s="169"/>
      <c r="V141" s="169"/>
      <c r="W141" s="169"/>
      <c r="X141" s="169"/>
      <c r="Y141" s="169"/>
      <c r="Z141" s="169"/>
      <c r="AA141" s="169"/>
      <c r="AB141" s="169"/>
      <c r="AC141" s="169"/>
    </row>
    <row r="142" spans="1:29" s="80" customFormat="1" ht="25.5" customHeight="1" x14ac:dyDescent="0.3">
      <c r="A142" s="463"/>
      <c r="B142" s="464" t="s">
        <v>3</v>
      </c>
      <c r="C142" s="463"/>
      <c r="D142" s="463"/>
      <c r="E142" s="463"/>
      <c r="F142" s="463"/>
      <c r="G142" s="463"/>
      <c r="H142" s="463"/>
      <c r="I142" s="463"/>
      <c r="J142" s="463"/>
      <c r="K142" s="463"/>
      <c r="L142" s="463"/>
      <c r="M142" s="463"/>
      <c r="N142" s="463"/>
      <c r="O142" s="463"/>
      <c r="P142" s="463"/>
      <c r="Q142" s="463"/>
      <c r="R142" s="463"/>
      <c r="S142" s="463"/>
      <c r="T142" s="463"/>
      <c r="U142" s="463"/>
      <c r="V142" s="463"/>
      <c r="W142" s="463"/>
      <c r="X142" s="463"/>
      <c r="Y142" s="463"/>
      <c r="Z142" s="463"/>
      <c r="AA142" s="463"/>
      <c r="AB142" s="463"/>
      <c r="AC142" s="463"/>
    </row>
    <row r="143" spans="1:29" s="12" customFormat="1" x14ac:dyDescent="0.3">
      <c r="A143" s="169"/>
      <c r="B143" s="169"/>
      <c r="C143" s="169"/>
      <c r="D143" s="169"/>
      <c r="E143" s="169"/>
      <c r="F143" s="169"/>
      <c r="G143" s="169"/>
      <c r="H143" s="169"/>
      <c r="I143" s="169"/>
      <c r="J143" s="169"/>
      <c r="K143" s="169"/>
      <c r="L143" s="169"/>
      <c r="M143" s="169"/>
      <c r="N143" s="169"/>
      <c r="O143" s="169"/>
      <c r="P143" s="169"/>
      <c r="Q143" s="169"/>
      <c r="R143" s="169"/>
      <c r="S143" s="169"/>
      <c r="T143" s="169"/>
      <c r="U143" s="169"/>
      <c r="V143" s="169"/>
      <c r="W143" s="169"/>
      <c r="X143" s="169"/>
      <c r="Y143" s="169"/>
      <c r="Z143" s="169"/>
      <c r="AA143" s="169"/>
      <c r="AB143" s="169"/>
      <c r="AC143" s="169"/>
    </row>
    <row r="144" spans="1:29" s="12" customFormat="1" x14ac:dyDescent="0.3">
      <c r="A144" s="169"/>
      <c r="B144" s="169"/>
      <c r="C144" s="169"/>
      <c r="D144" s="169"/>
      <c r="E144" s="169"/>
      <c r="F144" s="169"/>
      <c r="G144" s="169"/>
      <c r="H144" s="169"/>
      <c r="I144" s="169"/>
      <c r="J144" s="169"/>
      <c r="K144" s="169"/>
      <c r="L144" s="169"/>
      <c r="M144" s="169"/>
      <c r="N144" s="169"/>
      <c r="O144" s="169"/>
      <c r="P144" s="169"/>
      <c r="Q144" s="169"/>
      <c r="R144" s="169"/>
      <c r="S144" s="169"/>
      <c r="T144" s="169"/>
      <c r="U144" s="169"/>
      <c r="V144" s="169"/>
      <c r="W144" s="169"/>
      <c r="X144" s="169"/>
      <c r="Y144" s="169"/>
      <c r="Z144" s="169"/>
      <c r="AA144" s="169"/>
      <c r="AB144" s="169"/>
      <c r="AC144" s="169"/>
    </row>
    <row r="145" spans="1:29" s="12" customFormat="1" x14ac:dyDescent="0.3">
      <c r="A145" s="169"/>
      <c r="B145" s="176"/>
      <c r="C145" s="176"/>
      <c r="D145" s="176"/>
      <c r="E145" s="176"/>
      <c r="F145" s="176"/>
      <c r="G145" s="176"/>
      <c r="H145" s="176"/>
      <c r="I145" s="176"/>
      <c r="J145" s="176"/>
      <c r="K145" s="176"/>
      <c r="L145" s="176"/>
      <c r="M145" s="176"/>
      <c r="N145" s="176"/>
      <c r="O145" s="176"/>
      <c r="P145" s="176"/>
      <c r="Q145" s="176"/>
      <c r="R145" s="176"/>
      <c r="S145" s="176"/>
      <c r="T145" s="176"/>
      <c r="U145" s="176"/>
      <c r="V145" s="176"/>
      <c r="W145" s="176"/>
      <c r="X145" s="176"/>
      <c r="Y145" s="176"/>
      <c r="Z145" s="176"/>
      <c r="AA145" s="176"/>
      <c r="AB145" s="176"/>
      <c r="AC145" s="169"/>
    </row>
    <row r="146" spans="1:29" s="12" customFormat="1" x14ac:dyDescent="0.3">
      <c r="A146" s="169"/>
      <c r="B146" s="176"/>
      <c r="C146" s="176"/>
      <c r="D146" s="176"/>
      <c r="E146" s="176"/>
      <c r="F146" s="176"/>
      <c r="G146" s="176"/>
      <c r="H146" s="176"/>
      <c r="I146" s="176"/>
      <c r="J146" s="176"/>
      <c r="K146" s="176"/>
      <c r="L146" s="176"/>
      <c r="M146" s="176"/>
      <c r="N146" s="176"/>
      <c r="O146" s="176"/>
      <c r="P146" s="176"/>
      <c r="Q146" s="176"/>
      <c r="R146" s="176"/>
      <c r="S146" s="176"/>
      <c r="T146" s="176"/>
      <c r="U146" s="176"/>
      <c r="V146" s="176"/>
      <c r="W146" s="176"/>
      <c r="X146" s="176"/>
      <c r="Y146" s="176"/>
      <c r="Z146" s="176"/>
      <c r="AA146" s="176"/>
      <c r="AB146" s="176"/>
      <c r="AC146" s="169"/>
    </row>
    <row r="147" spans="1:29" s="12" customFormat="1" x14ac:dyDescent="0.3">
      <c r="A147" s="169"/>
      <c r="B147" s="176"/>
      <c r="C147" s="176"/>
      <c r="D147" s="176"/>
      <c r="E147" s="176"/>
      <c r="F147" s="176"/>
      <c r="G147" s="176"/>
      <c r="H147" s="176"/>
      <c r="I147" s="176"/>
      <c r="J147" s="176"/>
      <c r="K147" s="176"/>
      <c r="L147" s="176"/>
      <c r="M147" s="176"/>
      <c r="N147" s="176"/>
      <c r="O147" s="176"/>
      <c r="P147" s="176"/>
      <c r="Q147" s="176"/>
      <c r="R147" s="176"/>
      <c r="S147" s="176"/>
      <c r="T147" s="176"/>
      <c r="U147" s="176"/>
      <c r="V147" s="176"/>
      <c r="W147" s="176"/>
      <c r="X147" s="176"/>
      <c r="Y147" s="176"/>
      <c r="Z147" s="176"/>
      <c r="AA147" s="176"/>
      <c r="AB147" s="176"/>
      <c r="AC147" s="169"/>
    </row>
    <row r="148" spans="1:29" s="12" customFormat="1" x14ac:dyDescent="0.3">
      <c r="A148" s="169"/>
      <c r="B148" s="176"/>
      <c r="C148" s="176"/>
      <c r="D148" s="176"/>
      <c r="E148" s="176"/>
      <c r="F148" s="176"/>
      <c r="G148" s="176"/>
      <c r="H148" s="176"/>
      <c r="I148" s="176"/>
      <c r="J148" s="176"/>
      <c r="K148" s="176"/>
      <c r="L148" s="176"/>
      <c r="M148" s="176"/>
      <c r="N148" s="176"/>
      <c r="O148" s="176"/>
      <c r="P148" s="176"/>
      <c r="Q148" s="176"/>
      <c r="R148" s="176"/>
      <c r="S148" s="176"/>
      <c r="T148" s="176"/>
      <c r="U148" s="176"/>
      <c r="V148" s="176"/>
      <c r="W148" s="176"/>
      <c r="X148" s="176"/>
      <c r="Y148" s="176"/>
      <c r="Z148" s="176"/>
      <c r="AA148" s="176"/>
      <c r="AB148" s="176"/>
      <c r="AC148" s="169"/>
    </row>
    <row r="149" spans="1:29" s="12" customFormat="1" x14ac:dyDescent="0.3">
      <c r="A149" s="169"/>
      <c r="B149" s="176"/>
      <c r="C149" s="176"/>
      <c r="D149" s="176"/>
      <c r="E149" s="176"/>
      <c r="F149" s="176"/>
      <c r="G149" s="176"/>
      <c r="H149" s="176"/>
      <c r="I149" s="176"/>
      <c r="J149" s="176"/>
      <c r="K149" s="176"/>
      <c r="L149" s="176"/>
      <c r="M149" s="176"/>
      <c r="N149" s="176"/>
      <c r="O149" s="176"/>
      <c r="P149" s="176"/>
      <c r="Q149" s="176"/>
      <c r="R149" s="176"/>
      <c r="S149" s="176"/>
      <c r="T149" s="176"/>
      <c r="U149" s="176"/>
      <c r="V149" s="176"/>
      <c r="W149" s="176"/>
      <c r="X149" s="176"/>
      <c r="Y149" s="176"/>
      <c r="Z149" s="176"/>
      <c r="AA149" s="176"/>
      <c r="AB149" s="176"/>
      <c r="AC149" s="169"/>
    </row>
    <row r="150" spans="1:29" s="12" customFormat="1" x14ac:dyDescent="0.3">
      <c r="A150" s="169"/>
      <c r="B150" s="176"/>
      <c r="C150" s="176"/>
      <c r="D150" s="176"/>
      <c r="E150" s="176"/>
      <c r="F150" s="176"/>
      <c r="G150" s="176"/>
      <c r="H150" s="176"/>
      <c r="I150" s="176"/>
      <c r="J150" s="176"/>
      <c r="K150" s="176"/>
      <c r="L150" s="176"/>
      <c r="M150" s="176"/>
      <c r="N150" s="176"/>
      <c r="O150" s="176"/>
      <c r="P150" s="176"/>
      <c r="Q150" s="176"/>
      <c r="R150" s="176"/>
      <c r="S150" s="176"/>
      <c r="T150" s="176"/>
      <c r="U150" s="176"/>
      <c r="V150" s="176"/>
      <c r="W150" s="176"/>
      <c r="X150" s="176"/>
      <c r="Y150" s="176"/>
      <c r="Z150" s="176"/>
      <c r="AA150" s="176"/>
      <c r="AB150" s="176"/>
      <c r="AC150" s="169"/>
    </row>
    <row r="151" spans="1:29" s="12" customFormat="1" x14ac:dyDescent="0.3">
      <c r="A151" s="169"/>
      <c r="B151" s="176"/>
      <c r="C151" s="176"/>
      <c r="D151" s="176"/>
      <c r="E151" s="176"/>
      <c r="F151" s="176"/>
      <c r="G151" s="176"/>
      <c r="H151" s="176"/>
      <c r="I151" s="176"/>
      <c r="J151" s="176"/>
      <c r="K151" s="176"/>
      <c r="L151" s="176"/>
      <c r="M151" s="176"/>
      <c r="N151" s="176"/>
      <c r="O151" s="176"/>
      <c r="P151" s="176"/>
      <c r="Q151" s="176"/>
      <c r="R151" s="176"/>
      <c r="S151" s="176"/>
      <c r="T151" s="176"/>
      <c r="U151" s="176"/>
      <c r="V151" s="176"/>
      <c r="W151" s="176"/>
      <c r="X151" s="176"/>
      <c r="Y151" s="176"/>
      <c r="Z151" s="176"/>
      <c r="AA151" s="176"/>
      <c r="AB151" s="176"/>
      <c r="AC151" s="169"/>
    </row>
    <row r="152" spans="1:29" s="12" customFormat="1" x14ac:dyDescent="0.3">
      <c r="A152" s="169"/>
      <c r="B152" s="176"/>
      <c r="C152" s="176"/>
      <c r="D152" s="176"/>
      <c r="E152" s="176"/>
      <c r="F152" s="176"/>
      <c r="G152" s="176"/>
      <c r="H152" s="176"/>
      <c r="I152" s="176"/>
      <c r="J152" s="176"/>
      <c r="K152" s="176"/>
      <c r="L152" s="176"/>
      <c r="M152" s="176"/>
      <c r="N152" s="176"/>
      <c r="O152" s="176"/>
      <c r="P152" s="176"/>
      <c r="Q152" s="176"/>
      <c r="R152" s="176"/>
      <c r="S152" s="176"/>
      <c r="T152" s="176"/>
      <c r="U152" s="176"/>
      <c r="V152" s="176"/>
      <c r="W152" s="176"/>
      <c r="X152" s="176"/>
      <c r="Y152" s="176"/>
      <c r="Z152" s="176"/>
      <c r="AA152" s="176"/>
      <c r="AB152" s="176"/>
      <c r="AC152" s="169"/>
    </row>
    <row r="153" spans="1:29" s="12" customFormat="1" x14ac:dyDescent="0.3">
      <c r="A153" s="169"/>
      <c r="B153" s="176"/>
      <c r="C153" s="176"/>
      <c r="D153" s="176"/>
      <c r="E153" s="176"/>
      <c r="F153" s="176"/>
      <c r="G153" s="176"/>
      <c r="H153" s="176"/>
      <c r="I153" s="176"/>
      <c r="J153" s="176"/>
      <c r="K153" s="176"/>
      <c r="L153" s="176"/>
      <c r="M153" s="176"/>
      <c r="N153" s="176"/>
      <c r="O153" s="176"/>
      <c r="P153" s="176"/>
      <c r="Q153" s="176"/>
      <c r="R153" s="176"/>
      <c r="S153" s="176"/>
      <c r="T153" s="176"/>
      <c r="U153" s="176"/>
      <c r="V153" s="176"/>
      <c r="W153" s="176"/>
      <c r="X153" s="176"/>
      <c r="Y153" s="176"/>
      <c r="Z153" s="176"/>
      <c r="AA153" s="176"/>
      <c r="AB153" s="176"/>
      <c r="AC153" s="169"/>
    </row>
    <row r="154" spans="1:29" s="12" customFormat="1" x14ac:dyDescent="0.3">
      <c r="A154" s="169"/>
      <c r="B154" s="176"/>
      <c r="C154" s="176"/>
      <c r="D154" s="176"/>
      <c r="E154" s="176"/>
      <c r="F154" s="176"/>
      <c r="G154" s="176"/>
      <c r="H154" s="176"/>
      <c r="I154" s="176"/>
      <c r="J154" s="176"/>
      <c r="K154" s="176"/>
      <c r="L154" s="176"/>
      <c r="M154" s="176"/>
      <c r="N154" s="176"/>
      <c r="O154" s="176"/>
      <c r="P154" s="176"/>
      <c r="Q154" s="176"/>
      <c r="R154" s="176"/>
      <c r="S154" s="176"/>
      <c r="T154" s="176"/>
      <c r="U154" s="176"/>
      <c r="V154" s="176"/>
      <c r="W154" s="176"/>
      <c r="X154" s="176"/>
      <c r="Y154" s="176"/>
      <c r="Z154" s="176"/>
      <c r="AA154" s="176"/>
      <c r="AB154" s="176"/>
      <c r="AC154" s="169"/>
    </row>
    <row r="155" spans="1:29" s="12" customFormat="1" x14ac:dyDescent="0.3">
      <c r="A155" s="169"/>
      <c r="B155" s="176"/>
      <c r="C155" s="176"/>
      <c r="D155" s="176"/>
      <c r="E155" s="176"/>
      <c r="F155" s="176"/>
      <c r="G155" s="176"/>
      <c r="H155" s="176"/>
      <c r="I155" s="176"/>
      <c r="J155" s="176"/>
      <c r="K155" s="176"/>
      <c r="L155" s="176"/>
      <c r="M155" s="176"/>
      <c r="N155" s="176"/>
      <c r="O155" s="176"/>
      <c r="P155" s="176"/>
      <c r="Q155" s="176"/>
      <c r="R155" s="176"/>
      <c r="S155" s="176"/>
      <c r="T155" s="176"/>
      <c r="U155" s="176"/>
      <c r="V155" s="176"/>
      <c r="W155" s="176"/>
      <c r="X155" s="176"/>
      <c r="Y155" s="176"/>
      <c r="Z155" s="176"/>
      <c r="AA155" s="176"/>
      <c r="AB155" s="176"/>
      <c r="AC155" s="169"/>
    </row>
    <row r="156" spans="1:29" s="12" customFormat="1" x14ac:dyDescent="0.3">
      <c r="A156" s="169"/>
      <c r="B156" s="176"/>
      <c r="C156" s="176"/>
      <c r="D156" s="176"/>
      <c r="E156" s="176"/>
      <c r="F156" s="176"/>
      <c r="G156" s="176"/>
      <c r="H156" s="176"/>
      <c r="I156" s="176"/>
      <c r="J156" s="176"/>
      <c r="K156" s="176"/>
      <c r="L156" s="176"/>
      <c r="M156" s="176"/>
      <c r="N156" s="176"/>
      <c r="O156" s="176"/>
      <c r="P156" s="176"/>
      <c r="Q156" s="176"/>
      <c r="R156" s="176"/>
      <c r="S156" s="176"/>
      <c r="T156" s="176"/>
      <c r="U156" s="176"/>
      <c r="V156" s="176"/>
      <c r="W156" s="176"/>
      <c r="X156" s="176"/>
      <c r="Y156" s="176"/>
      <c r="Z156" s="176"/>
      <c r="AA156" s="176"/>
      <c r="AB156" s="176"/>
      <c r="AC156" s="169"/>
    </row>
    <row r="157" spans="1:29" s="12" customFormat="1" x14ac:dyDescent="0.3">
      <c r="A157" s="169"/>
      <c r="B157" s="176"/>
      <c r="C157" s="176"/>
      <c r="D157" s="176"/>
      <c r="E157" s="176"/>
      <c r="F157" s="176"/>
      <c r="G157" s="176"/>
      <c r="H157" s="176"/>
      <c r="I157" s="176"/>
      <c r="J157" s="176"/>
      <c r="K157" s="176"/>
      <c r="L157" s="176"/>
      <c r="M157" s="176"/>
      <c r="N157" s="176"/>
      <c r="O157" s="176"/>
      <c r="P157" s="176"/>
      <c r="Q157" s="176"/>
      <c r="R157" s="176"/>
      <c r="S157" s="176"/>
      <c r="T157" s="176"/>
      <c r="U157" s="176"/>
      <c r="V157" s="176"/>
      <c r="W157" s="176"/>
      <c r="X157" s="176"/>
      <c r="Y157" s="176"/>
      <c r="Z157" s="176"/>
      <c r="AA157" s="176"/>
      <c r="AB157" s="176"/>
      <c r="AC157" s="169"/>
    </row>
    <row r="158" spans="1:29" s="12" customFormat="1" x14ac:dyDescent="0.3">
      <c r="A158" s="169"/>
      <c r="B158" s="176"/>
      <c r="C158" s="176"/>
      <c r="D158" s="176"/>
      <c r="E158" s="176"/>
      <c r="F158" s="176"/>
      <c r="G158" s="176"/>
      <c r="H158" s="176"/>
      <c r="I158" s="176"/>
      <c r="J158" s="176"/>
      <c r="K158" s="176"/>
      <c r="L158" s="176"/>
      <c r="M158" s="176"/>
      <c r="N158" s="176"/>
      <c r="O158" s="176"/>
      <c r="P158" s="176"/>
      <c r="Q158" s="176"/>
      <c r="R158" s="176"/>
      <c r="S158" s="176"/>
      <c r="T158" s="176"/>
      <c r="U158" s="176"/>
      <c r="V158" s="176"/>
      <c r="W158" s="176"/>
      <c r="X158" s="176"/>
      <c r="Y158" s="176"/>
      <c r="Z158" s="176"/>
      <c r="AA158" s="176"/>
      <c r="AB158" s="176"/>
      <c r="AC158" s="169"/>
    </row>
    <row r="159" spans="1:29" s="12" customFormat="1" x14ac:dyDescent="0.3">
      <c r="A159" s="169"/>
      <c r="B159" s="176"/>
      <c r="C159" s="176"/>
      <c r="D159" s="176"/>
      <c r="E159" s="176"/>
      <c r="F159" s="176"/>
      <c r="G159" s="176"/>
      <c r="H159" s="176"/>
      <c r="I159" s="176"/>
      <c r="J159" s="176"/>
      <c r="K159" s="176"/>
      <c r="L159" s="176"/>
      <c r="M159" s="176"/>
      <c r="N159" s="176"/>
      <c r="O159" s="176"/>
      <c r="P159" s="176"/>
      <c r="Q159" s="176"/>
      <c r="R159" s="176"/>
      <c r="S159" s="176"/>
      <c r="T159" s="176"/>
      <c r="U159" s="176"/>
      <c r="V159" s="176"/>
      <c r="W159" s="176"/>
      <c r="X159" s="176"/>
      <c r="Y159" s="176"/>
      <c r="Z159" s="176"/>
      <c r="AA159" s="176"/>
      <c r="AB159" s="176"/>
      <c r="AC159" s="169"/>
    </row>
    <row r="160" spans="1:29" s="12" customFormat="1" x14ac:dyDescent="0.3">
      <c r="A160" s="169"/>
      <c r="B160" s="176"/>
      <c r="C160" s="176"/>
      <c r="D160" s="176"/>
      <c r="E160" s="176"/>
      <c r="F160" s="176"/>
      <c r="G160" s="176"/>
      <c r="H160" s="176"/>
      <c r="I160" s="176"/>
      <c r="J160" s="176"/>
      <c r="K160" s="176"/>
      <c r="L160" s="176"/>
      <c r="M160" s="176"/>
      <c r="N160" s="176"/>
      <c r="O160" s="176"/>
      <c r="P160" s="176"/>
      <c r="Q160" s="176"/>
      <c r="R160" s="176"/>
      <c r="S160" s="176"/>
      <c r="T160" s="176"/>
      <c r="U160" s="176"/>
      <c r="V160" s="176"/>
      <c r="W160" s="176"/>
      <c r="X160" s="176"/>
      <c r="Y160" s="176"/>
      <c r="Z160" s="176"/>
      <c r="AA160" s="176"/>
      <c r="AB160" s="176"/>
      <c r="AC160" s="169"/>
    </row>
    <row r="161" spans="1:29" s="12" customFormat="1" x14ac:dyDescent="0.3">
      <c r="A161" s="169"/>
      <c r="B161" s="176"/>
      <c r="C161" s="176"/>
      <c r="D161" s="176"/>
      <c r="E161" s="176"/>
      <c r="F161" s="176"/>
      <c r="G161" s="176"/>
      <c r="H161" s="176"/>
      <c r="I161" s="176"/>
      <c r="J161" s="176"/>
      <c r="K161" s="176"/>
      <c r="L161" s="176"/>
      <c r="M161" s="176"/>
      <c r="N161" s="176"/>
      <c r="O161" s="176"/>
      <c r="P161" s="176"/>
      <c r="Q161" s="176"/>
      <c r="R161" s="176"/>
      <c r="S161" s="176"/>
      <c r="T161" s="176"/>
      <c r="U161" s="176"/>
      <c r="V161" s="176"/>
      <c r="W161" s="176"/>
      <c r="X161" s="176"/>
      <c r="Y161" s="176"/>
      <c r="Z161" s="176"/>
      <c r="AA161" s="176"/>
      <c r="AB161" s="176"/>
      <c r="AC161" s="169"/>
    </row>
    <row r="162" spans="1:29" s="12" customFormat="1" x14ac:dyDescent="0.3">
      <c r="A162" s="169"/>
      <c r="B162" s="176"/>
      <c r="C162" s="176"/>
      <c r="D162" s="176"/>
      <c r="E162" s="176"/>
      <c r="F162" s="176"/>
      <c r="G162" s="176"/>
      <c r="H162" s="176"/>
      <c r="I162" s="176"/>
      <c r="J162" s="176"/>
      <c r="K162" s="176"/>
      <c r="L162" s="176"/>
      <c r="M162" s="176"/>
      <c r="N162" s="176"/>
      <c r="O162" s="176"/>
      <c r="P162" s="176"/>
      <c r="Q162" s="176"/>
      <c r="R162" s="176"/>
      <c r="S162" s="176"/>
      <c r="T162" s="176"/>
      <c r="U162" s="176"/>
      <c r="V162" s="176"/>
      <c r="W162" s="176"/>
      <c r="X162" s="176"/>
      <c r="Y162" s="176"/>
      <c r="Z162" s="176"/>
      <c r="AA162" s="176"/>
      <c r="AB162" s="176"/>
      <c r="AC162" s="169"/>
    </row>
    <row r="163" spans="1:29" s="12" customFormat="1" x14ac:dyDescent="0.3">
      <c r="A163" s="169"/>
      <c r="B163" s="176"/>
      <c r="C163" s="176"/>
      <c r="D163" s="176"/>
      <c r="E163" s="176"/>
      <c r="F163" s="176"/>
      <c r="G163" s="176"/>
      <c r="H163" s="176"/>
      <c r="I163" s="176"/>
      <c r="J163" s="176"/>
      <c r="K163" s="176"/>
      <c r="L163" s="176"/>
      <c r="M163" s="176"/>
      <c r="N163" s="176"/>
      <c r="O163" s="176"/>
      <c r="P163" s="176"/>
      <c r="Q163" s="176"/>
      <c r="R163" s="176"/>
      <c r="S163" s="176"/>
      <c r="T163" s="176"/>
      <c r="U163" s="176"/>
      <c r="V163" s="176"/>
      <c r="W163" s="176"/>
      <c r="X163" s="176"/>
      <c r="Y163" s="176"/>
      <c r="Z163" s="176"/>
      <c r="AA163" s="176"/>
      <c r="AB163" s="176"/>
      <c r="AC163" s="169"/>
    </row>
    <row r="164" spans="1:29" s="12" customFormat="1" x14ac:dyDescent="0.3">
      <c r="A164" s="169"/>
      <c r="B164" s="176"/>
      <c r="C164" s="176"/>
      <c r="D164" s="176"/>
      <c r="E164" s="176"/>
      <c r="F164" s="176"/>
      <c r="G164" s="176"/>
      <c r="H164" s="176"/>
      <c r="I164" s="176"/>
      <c r="J164" s="176"/>
      <c r="K164" s="176"/>
      <c r="L164" s="176"/>
      <c r="M164" s="176"/>
      <c r="N164" s="176"/>
      <c r="O164" s="176"/>
      <c r="P164" s="176"/>
      <c r="Q164" s="176"/>
      <c r="R164" s="176"/>
      <c r="S164" s="176"/>
      <c r="T164" s="176"/>
      <c r="U164" s="176"/>
      <c r="V164" s="176"/>
      <c r="W164" s="176"/>
      <c r="X164" s="176"/>
      <c r="Y164" s="176"/>
      <c r="Z164" s="176"/>
      <c r="AA164" s="176"/>
      <c r="AB164" s="176"/>
      <c r="AC164" s="169"/>
    </row>
    <row r="165" spans="1:29" s="12" customFormat="1" x14ac:dyDescent="0.3">
      <c r="A165" s="169"/>
      <c r="B165" s="176"/>
      <c r="C165" s="176"/>
      <c r="D165" s="176"/>
      <c r="E165" s="176"/>
      <c r="F165" s="176"/>
      <c r="G165" s="176"/>
      <c r="H165" s="176"/>
      <c r="I165" s="176"/>
      <c r="J165" s="176"/>
      <c r="K165" s="176"/>
      <c r="L165" s="176"/>
      <c r="M165" s="176"/>
      <c r="N165" s="176"/>
      <c r="O165" s="176"/>
      <c r="P165" s="176"/>
      <c r="Q165" s="176"/>
      <c r="R165" s="176"/>
      <c r="S165" s="176"/>
      <c r="T165" s="176"/>
      <c r="U165" s="176"/>
      <c r="V165" s="176"/>
      <c r="W165" s="176"/>
      <c r="X165" s="176"/>
      <c r="Y165" s="176"/>
      <c r="Z165" s="176"/>
      <c r="AA165" s="176"/>
      <c r="AB165" s="176"/>
      <c r="AC165" s="169"/>
    </row>
    <row r="166" spans="1:29" s="12" customFormat="1" x14ac:dyDescent="0.3">
      <c r="A166" s="169"/>
      <c r="B166" s="176"/>
      <c r="C166" s="176"/>
      <c r="D166" s="176"/>
      <c r="E166" s="176"/>
      <c r="F166" s="176"/>
      <c r="G166" s="176"/>
      <c r="H166" s="176"/>
      <c r="I166" s="176"/>
      <c r="J166" s="176"/>
      <c r="K166" s="176"/>
      <c r="L166" s="176"/>
      <c r="M166" s="176"/>
      <c r="N166" s="176"/>
      <c r="O166" s="176"/>
      <c r="P166" s="176"/>
      <c r="Q166" s="176"/>
      <c r="R166" s="176"/>
      <c r="S166" s="176"/>
      <c r="T166" s="176"/>
      <c r="U166" s="176"/>
      <c r="V166" s="176"/>
      <c r="W166" s="176"/>
      <c r="X166" s="176"/>
      <c r="Y166" s="176"/>
      <c r="Z166" s="176"/>
      <c r="AA166" s="176"/>
      <c r="AB166" s="176"/>
      <c r="AC166" s="169"/>
    </row>
    <row r="167" spans="1:29" s="12" customFormat="1" x14ac:dyDescent="0.3">
      <c r="A167" s="169"/>
      <c r="B167" s="176"/>
      <c r="C167" s="176"/>
      <c r="D167" s="176"/>
      <c r="E167" s="176"/>
      <c r="F167" s="176"/>
      <c r="G167" s="176"/>
      <c r="H167" s="176"/>
      <c r="I167" s="176"/>
      <c r="J167" s="176"/>
      <c r="K167" s="176"/>
      <c r="L167" s="176"/>
      <c r="M167" s="176"/>
      <c r="N167" s="176"/>
      <c r="O167" s="176"/>
      <c r="P167" s="176"/>
      <c r="Q167" s="176"/>
      <c r="R167" s="176"/>
      <c r="S167" s="176"/>
      <c r="T167" s="176"/>
      <c r="U167" s="176"/>
      <c r="V167" s="176"/>
      <c r="W167" s="176"/>
      <c r="X167" s="176"/>
      <c r="Y167" s="176"/>
      <c r="Z167" s="176"/>
      <c r="AA167" s="176"/>
      <c r="AB167" s="176"/>
      <c r="AC167" s="169"/>
    </row>
    <row r="168" spans="1:29" s="12" customFormat="1" x14ac:dyDescent="0.3">
      <c r="A168" s="169"/>
      <c r="B168" s="176"/>
      <c r="C168" s="176"/>
      <c r="D168" s="176"/>
      <c r="E168" s="176"/>
      <c r="F168" s="176"/>
      <c r="G168" s="176"/>
      <c r="H168" s="176"/>
      <c r="I168" s="176"/>
      <c r="J168" s="176"/>
      <c r="K168" s="176"/>
      <c r="L168" s="176"/>
      <c r="M168" s="176"/>
      <c r="N168" s="176"/>
      <c r="O168" s="176"/>
      <c r="P168" s="176"/>
      <c r="Q168" s="176"/>
      <c r="R168" s="176"/>
      <c r="S168" s="176"/>
      <c r="T168" s="176"/>
      <c r="U168" s="176"/>
      <c r="V168" s="176"/>
      <c r="W168" s="176"/>
      <c r="X168" s="176"/>
      <c r="Y168" s="176"/>
      <c r="Z168" s="176"/>
      <c r="AA168" s="176"/>
      <c r="AB168" s="176"/>
      <c r="AC168" s="169"/>
    </row>
    <row r="169" spans="1:29" s="12" customFormat="1" x14ac:dyDescent="0.3">
      <c r="A169" s="169"/>
      <c r="B169" s="176"/>
      <c r="C169" s="176"/>
      <c r="D169" s="176"/>
      <c r="E169" s="176"/>
      <c r="F169" s="176"/>
      <c r="G169" s="176"/>
      <c r="H169" s="176"/>
      <c r="I169" s="176"/>
      <c r="J169" s="176"/>
      <c r="K169" s="176"/>
      <c r="L169" s="176"/>
      <c r="M169" s="176"/>
      <c r="N169" s="176"/>
      <c r="O169" s="176"/>
      <c r="P169" s="176"/>
      <c r="Q169" s="176"/>
      <c r="R169" s="176"/>
      <c r="S169" s="176"/>
      <c r="T169" s="176"/>
      <c r="U169" s="176"/>
      <c r="V169" s="176"/>
      <c r="W169" s="176"/>
      <c r="X169" s="176"/>
      <c r="Y169" s="176"/>
      <c r="Z169" s="176"/>
      <c r="AA169" s="176"/>
      <c r="AB169" s="176"/>
      <c r="AC169" s="169"/>
    </row>
    <row r="170" spans="1:29" s="12" customFormat="1" x14ac:dyDescent="0.3">
      <c r="A170" s="169"/>
      <c r="B170" s="465"/>
      <c r="C170" s="465"/>
      <c r="D170" s="465"/>
      <c r="E170" s="465"/>
      <c r="F170" s="465"/>
      <c r="G170" s="465"/>
      <c r="H170" s="465"/>
      <c r="I170" s="465"/>
      <c r="J170" s="465"/>
      <c r="K170" s="465"/>
      <c r="L170" s="465"/>
      <c r="M170" s="465"/>
      <c r="N170" s="465"/>
      <c r="O170" s="465"/>
      <c r="P170" s="465"/>
      <c r="Q170" s="465"/>
      <c r="R170" s="465"/>
      <c r="S170" s="465"/>
      <c r="T170" s="465"/>
      <c r="U170" s="465"/>
      <c r="V170" s="465"/>
      <c r="W170" s="465"/>
      <c r="X170" s="465"/>
      <c r="Y170" s="465"/>
      <c r="Z170" s="465"/>
      <c r="AA170" s="465"/>
      <c r="AB170" s="465"/>
      <c r="AC170" s="169"/>
    </row>
    <row r="171" spans="1:29" s="12" customFormat="1" x14ac:dyDescent="0.3">
      <c r="A171" s="169"/>
      <c r="B171" s="176"/>
      <c r="C171" s="176"/>
      <c r="D171" s="176"/>
      <c r="E171" s="176"/>
      <c r="F171" s="176"/>
      <c r="G171" s="176"/>
      <c r="H171" s="176"/>
      <c r="I171" s="176"/>
      <c r="J171" s="176"/>
      <c r="K171" s="176"/>
      <c r="L171" s="176"/>
      <c r="M171" s="176"/>
      <c r="N171" s="176"/>
      <c r="O171" s="176"/>
      <c r="P171" s="176"/>
      <c r="Q171" s="176"/>
      <c r="R171" s="176"/>
      <c r="S171" s="176"/>
      <c r="T171" s="176"/>
      <c r="U171" s="176"/>
      <c r="V171" s="176"/>
      <c r="W171" s="176"/>
      <c r="X171" s="176"/>
      <c r="Y171" s="176"/>
      <c r="Z171" s="176"/>
      <c r="AA171" s="176"/>
      <c r="AB171" s="176"/>
      <c r="AC171" s="169"/>
    </row>
    <row r="172" spans="1:29" s="12" customFormat="1" x14ac:dyDescent="0.3">
      <c r="A172" s="169"/>
      <c r="B172" s="176"/>
      <c r="C172" s="176"/>
      <c r="D172" s="176"/>
      <c r="E172" s="176"/>
      <c r="F172" s="176"/>
      <c r="G172" s="176"/>
      <c r="H172" s="176"/>
      <c r="I172" s="176"/>
      <c r="J172" s="176"/>
      <c r="K172" s="176"/>
      <c r="L172" s="176"/>
      <c r="M172" s="176"/>
      <c r="N172" s="176"/>
      <c r="O172" s="176"/>
      <c r="P172" s="176"/>
      <c r="Q172" s="176"/>
      <c r="R172" s="176"/>
      <c r="S172" s="176"/>
      <c r="T172" s="176"/>
      <c r="U172" s="176"/>
      <c r="V172" s="176"/>
      <c r="W172" s="176"/>
      <c r="X172" s="176"/>
      <c r="Y172" s="176"/>
      <c r="Z172" s="176"/>
      <c r="AA172" s="176"/>
      <c r="AB172" s="176"/>
      <c r="AC172" s="169"/>
    </row>
    <row r="173" spans="1:29" s="12" customFormat="1" x14ac:dyDescent="0.3">
      <c r="A173" s="169"/>
      <c r="B173" s="176"/>
      <c r="C173" s="176"/>
      <c r="D173" s="176"/>
      <c r="E173" s="176"/>
      <c r="F173" s="176"/>
      <c r="G173" s="176"/>
      <c r="H173" s="176"/>
      <c r="I173" s="176"/>
      <c r="J173" s="176"/>
      <c r="K173" s="176"/>
      <c r="L173" s="176"/>
      <c r="M173" s="176"/>
      <c r="N173" s="176"/>
      <c r="O173" s="176"/>
      <c r="P173" s="176"/>
      <c r="Q173" s="176"/>
      <c r="R173" s="176"/>
      <c r="S173" s="176"/>
      <c r="T173" s="176"/>
      <c r="U173" s="176"/>
      <c r="V173" s="176"/>
      <c r="W173" s="176"/>
      <c r="X173" s="176"/>
      <c r="Y173" s="176"/>
      <c r="Z173" s="176"/>
      <c r="AA173" s="176"/>
      <c r="AB173" s="176"/>
      <c r="AC173" s="169"/>
    </row>
    <row r="174" spans="1:29" s="12" customFormat="1" x14ac:dyDescent="0.3">
      <c r="A174" s="169"/>
      <c r="B174" s="176"/>
      <c r="C174" s="176"/>
      <c r="D174" s="176"/>
      <c r="E174" s="176"/>
      <c r="F174" s="176"/>
      <c r="G174" s="176"/>
      <c r="H174" s="176"/>
      <c r="I174" s="176"/>
      <c r="J174" s="176"/>
      <c r="K174" s="176"/>
      <c r="L174" s="176"/>
      <c r="M174" s="176"/>
      <c r="N174" s="176"/>
      <c r="O174" s="176"/>
      <c r="P174" s="176"/>
      <c r="Q174" s="176"/>
      <c r="R174" s="176"/>
      <c r="S174" s="176"/>
      <c r="T174" s="176"/>
      <c r="U174" s="176"/>
      <c r="V174" s="176"/>
      <c r="W174" s="176"/>
      <c r="X174" s="176"/>
      <c r="Y174" s="176"/>
      <c r="Z174" s="176"/>
      <c r="AA174" s="176"/>
      <c r="AB174" s="176"/>
      <c r="AC174" s="169"/>
    </row>
    <row r="175" spans="1:29" s="12" customFormat="1" x14ac:dyDescent="0.3">
      <c r="A175" s="169"/>
      <c r="B175" s="176"/>
      <c r="C175" s="176"/>
      <c r="D175" s="176"/>
      <c r="E175" s="176"/>
      <c r="F175" s="176"/>
      <c r="G175" s="176"/>
      <c r="H175" s="176"/>
      <c r="I175" s="176"/>
      <c r="J175" s="176"/>
      <c r="K175" s="176"/>
      <c r="L175" s="176"/>
      <c r="M175" s="176"/>
      <c r="N175" s="176"/>
      <c r="O175" s="176"/>
      <c r="P175" s="176"/>
      <c r="Q175" s="176"/>
      <c r="R175" s="176"/>
      <c r="S175" s="176"/>
      <c r="T175" s="176"/>
      <c r="U175" s="176"/>
      <c r="V175" s="176"/>
      <c r="W175" s="176"/>
      <c r="X175" s="176"/>
      <c r="Y175" s="176"/>
      <c r="Z175" s="176"/>
      <c r="AA175" s="176"/>
      <c r="AB175" s="176"/>
      <c r="AC175" s="169"/>
    </row>
    <row r="176" spans="1:29" s="12" customFormat="1" x14ac:dyDescent="0.3">
      <c r="A176" s="169"/>
      <c r="B176" s="176"/>
      <c r="C176" s="176"/>
      <c r="D176" s="176"/>
      <c r="E176" s="176"/>
      <c r="F176" s="176"/>
      <c r="G176" s="176"/>
      <c r="H176" s="176"/>
      <c r="I176" s="176"/>
      <c r="J176" s="176"/>
      <c r="K176" s="176"/>
      <c r="L176" s="176"/>
      <c r="M176" s="176"/>
      <c r="N176" s="176"/>
      <c r="O176" s="176"/>
      <c r="P176" s="176"/>
      <c r="Q176" s="176"/>
      <c r="R176" s="176"/>
      <c r="S176" s="176"/>
      <c r="T176" s="176"/>
      <c r="U176" s="176"/>
      <c r="V176" s="176"/>
      <c r="W176" s="176"/>
      <c r="X176" s="176"/>
      <c r="Y176" s="176"/>
      <c r="Z176" s="176"/>
      <c r="AA176" s="176"/>
      <c r="AB176" s="176"/>
      <c r="AC176" s="169"/>
    </row>
    <row r="177" spans="1:29" s="12" customFormat="1" x14ac:dyDescent="0.3">
      <c r="A177" s="169"/>
      <c r="B177" s="176"/>
      <c r="C177" s="176"/>
      <c r="D177" s="176"/>
      <c r="E177" s="176"/>
      <c r="F177" s="176"/>
      <c r="G177" s="176"/>
      <c r="H177" s="176"/>
      <c r="I177" s="176"/>
      <c r="J177" s="176"/>
      <c r="K177" s="176"/>
      <c r="L177" s="176"/>
      <c r="M177" s="176"/>
      <c r="N177" s="176"/>
      <c r="O177" s="176"/>
      <c r="P177" s="176"/>
      <c r="Q177" s="176"/>
      <c r="R177" s="176"/>
      <c r="S177" s="176"/>
      <c r="T177" s="176"/>
      <c r="U177" s="176"/>
      <c r="V177" s="176"/>
      <c r="W177" s="176"/>
      <c r="X177" s="176"/>
      <c r="Y177" s="176"/>
      <c r="Z177" s="176"/>
      <c r="AA177" s="176"/>
      <c r="AB177" s="176"/>
      <c r="AC177" s="169"/>
    </row>
    <row r="178" spans="1:29" s="12" customFormat="1" x14ac:dyDescent="0.3">
      <c r="A178" s="169"/>
      <c r="B178" s="176"/>
      <c r="C178" s="176"/>
      <c r="D178" s="176"/>
      <c r="E178" s="176"/>
      <c r="F178" s="176"/>
      <c r="G178" s="176"/>
      <c r="H178" s="176"/>
      <c r="I178" s="176"/>
      <c r="J178" s="176"/>
      <c r="K178" s="176"/>
      <c r="L178" s="176"/>
      <c r="M178" s="176"/>
      <c r="N178" s="176"/>
      <c r="O178" s="176"/>
      <c r="P178" s="176"/>
      <c r="Q178" s="176"/>
      <c r="R178" s="176"/>
      <c r="S178" s="176"/>
      <c r="T178" s="176"/>
      <c r="U178" s="176"/>
      <c r="V178" s="176"/>
      <c r="W178" s="176"/>
      <c r="X178" s="176"/>
      <c r="Y178" s="176"/>
      <c r="Z178" s="176"/>
      <c r="AA178" s="176"/>
      <c r="AB178" s="176"/>
      <c r="AC178" s="169"/>
    </row>
    <row r="179" spans="1:29" s="12" customFormat="1" x14ac:dyDescent="0.3">
      <c r="A179" s="169"/>
      <c r="B179" s="176"/>
      <c r="C179" s="176"/>
      <c r="D179" s="176"/>
      <c r="E179" s="176"/>
      <c r="F179" s="176"/>
      <c r="G179" s="176"/>
      <c r="H179" s="176"/>
      <c r="I179" s="176"/>
      <c r="J179" s="176"/>
      <c r="K179" s="176"/>
      <c r="L179" s="176"/>
      <c r="M179" s="176"/>
      <c r="N179" s="176"/>
      <c r="O179" s="176"/>
      <c r="P179" s="176"/>
      <c r="Q179" s="176"/>
      <c r="R179" s="176"/>
      <c r="S179" s="176"/>
      <c r="T179" s="176"/>
      <c r="U179" s="176"/>
      <c r="V179" s="176"/>
      <c r="W179" s="176"/>
      <c r="X179" s="176"/>
      <c r="Y179" s="176"/>
      <c r="Z179" s="176"/>
      <c r="AA179" s="176"/>
      <c r="AB179" s="176"/>
      <c r="AC179" s="169"/>
    </row>
    <row r="180" spans="1:29" s="12" customFormat="1" x14ac:dyDescent="0.3">
      <c r="A180" s="169"/>
      <c r="B180" s="176"/>
      <c r="C180" s="176"/>
      <c r="D180" s="176"/>
      <c r="E180" s="176"/>
      <c r="F180" s="176"/>
      <c r="G180" s="176"/>
      <c r="H180" s="176"/>
      <c r="I180" s="176"/>
      <c r="J180" s="176"/>
      <c r="K180" s="176"/>
      <c r="L180" s="176"/>
      <c r="M180" s="176"/>
      <c r="N180" s="176"/>
      <c r="O180" s="176"/>
      <c r="P180" s="176"/>
      <c r="Q180" s="176"/>
      <c r="R180" s="176"/>
      <c r="S180" s="176"/>
      <c r="T180" s="176"/>
      <c r="U180" s="176"/>
      <c r="V180" s="176"/>
      <c r="W180" s="176"/>
      <c r="X180" s="176"/>
      <c r="Y180" s="176"/>
      <c r="Z180" s="176"/>
      <c r="AA180" s="176"/>
      <c r="AB180" s="176"/>
      <c r="AC180" s="169"/>
    </row>
    <row r="181" spans="1:29" s="12" customFormat="1" x14ac:dyDescent="0.3">
      <c r="A181" s="169"/>
      <c r="B181" s="176"/>
      <c r="C181" s="176"/>
      <c r="D181" s="176"/>
      <c r="E181" s="176"/>
      <c r="F181" s="176"/>
      <c r="G181" s="176"/>
      <c r="H181" s="176"/>
      <c r="I181" s="176"/>
      <c r="J181" s="176"/>
      <c r="K181" s="176"/>
      <c r="L181" s="176"/>
      <c r="M181" s="176"/>
      <c r="N181" s="176"/>
      <c r="O181" s="176"/>
      <c r="P181" s="176"/>
      <c r="Q181" s="176"/>
      <c r="R181" s="176"/>
      <c r="S181" s="176"/>
      <c r="T181" s="176"/>
      <c r="U181" s="176"/>
      <c r="V181" s="176"/>
      <c r="W181" s="176"/>
      <c r="X181" s="176"/>
      <c r="Y181" s="176"/>
      <c r="Z181" s="176"/>
      <c r="AA181" s="176"/>
      <c r="AB181" s="176"/>
      <c r="AC181" s="169"/>
    </row>
    <row r="182" spans="1:29" s="12" customFormat="1" x14ac:dyDescent="0.3">
      <c r="A182" s="169"/>
      <c r="B182" s="176"/>
      <c r="C182" s="176"/>
      <c r="D182" s="176"/>
      <c r="E182" s="176"/>
      <c r="F182" s="176"/>
      <c r="G182" s="176"/>
      <c r="H182" s="176"/>
      <c r="I182" s="176"/>
      <c r="J182" s="176"/>
      <c r="K182" s="176"/>
      <c r="L182" s="176"/>
      <c r="M182" s="176"/>
      <c r="N182" s="176"/>
      <c r="O182" s="176"/>
      <c r="P182" s="176"/>
      <c r="Q182" s="176"/>
      <c r="R182" s="176"/>
      <c r="S182" s="176"/>
      <c r="T182" s="176"/>
      <c r="U182" s="176"/>
      <c r="V182" s="176"/>
      <c r="W182" s="176"/>
      <c r="X182" s="176"/>
      <c r="Y182" s="176"/>
      <c r="Z182" s="176"/>
      <c r="AA182" s="176"/>
      <c r="AB182" s="176"/>
      <c r="AC182" s="169"/>
    </row>
    <row r="183" spans="1:29" s="12" customFormat="1" x14ac:dyDescent="0.3">
      <c r="A183" s="169"/>
      <c r="B183" s="176"/>
      <c r="C183" s="176"/>
      <c r="D183" s="176"/>
      <c r="E183" s="176"/>
      <c r="F183" s="176"/>
      <c r="G183" s="176"/>
      <c r="H183" s="176"/>
      <c r="I183" s="176"/>
      <c r="J183" s="176"/>
      <c r="K183" s="176"/>
      <c r="L183" s="176"/>
      <c r="M183" s="176"/>
      <c r="N183" s="176"/>
      <c r="O183" s="176"/>
      <c r="P183" s="176"/>
      <c r="Q183" s="176"/>
      <c r="R183" s="176"/>
      <c r="S183" s="176"/>
      <c r="T183" s="176"/>
      <c r="U183" s="176"/>
      <c r="V183" s="176"/>
      <c r="W183" s="176"/>
      <c r="X183" s="176"/>
      <c r="Y183" s="176"/>
      <c r="Z183" s="176"/>
      <c r="AA183" s="176"/>
      <c r="AB183" s="176"/>
      <c r="AC183" s="169"/>
    </row>
    <row r="184" spans="1:29" s="12" customFormat="1" x14ac:dyDescent="0.3">
      <c r="A184" s="169"/>
      <c r="B184" s="176"/>
      <c r="C184" s="176"/>
      <c r="D184" s="176"/>
      <c r="E184" s="176"/>
      <c r="F184" s="176"/>
      <c r="G184" s="176"/>
      <c r="H184" s="176"/>
      <c r="I184" s="176"/>
      <c r="J184" s="176"/>
      <c r="K184" s="176"/>
      <c r="L184" s="176"/>
      <c r="M184" s="176"/>
      <c r="N184" s="176"/>
      <c r="O184" s="176"/>
      <c r="P184" s="176"/>
      <c r="Q184" s="176"/>
      <c r="R184" s="176"/>
      <c r="S184" s="176"/>
      <c r="T184" s="176"/>
      <c r="U184" s="176"/>
      <c r="V184" s="176"/>
      <c r="W184" s="176"/>
      <c r="X184" s="176"/>
      <c r="Y184" s="176"/>
      <c r="Z184" s="176"/>
      <c r="AA184" s="176"/>
      <c r="AB184" s="176"/>
      <c r="AC184" s="169"/>
    </row>
    <row r="185" spans="1:29" s="12" customFormat="1" x14ac:dyDescent="0.3">
      <c r="A185" s="169"/>
      <c r="B185" s="176"/>
      <c r="C185" s="176"/>
      <c r="D185" s="176"/>
      <c r="E185" s="176"/>
      <c r="F185" s="176"/>
      <c r="G185" s="176"/>
      <c r="H185" s="176"/>
      <c r="I185" s="176"/>
      <c r="J185" s="176"/>
      <c r="K185" s="176"/>
      <c r="L185" s="176"/>
      <c r="M185" s="176"/>
      <c r="N185" s="176"/>
      <c r="O185" s="176"/>
      <c r="P185" s="176"/>
      <c r="Q185" s="176"/>
      <c r="R185" s="176"/>
      <c r="S185" s="176"/>
      <c r="T185" s="176"/>
      <c r="U185" s="176"/>
      <c r="V185" s="176"/>
      <c r="W185" s="176"/>
      <c r="X185" s="176"/>
      <c r="Y185" s="176"/>
      <c r="Z185" s="176"/>
      <c r="AA185" s="176"/>
      <c r="AB185" s="176"/>
      <c r="AC185" s="169"/>
    </row>
    <row r="186" spans="1:29" s="12" customFormat="1" x14ac:dyDescent="0.3">
      <c r="A186" s="169"/>
      <c r="B186" s="176"/>
      <c r="C186" s="176"/>
      <c r="D186" s="176"/>
      <c r="E186" s="176"/>
      <c r="F186" s="176"/>
      <c r="G186" s="176"/>
      <c r="H186" s="176"/>
      <c r="I186" s="176"/>
      <c r="J186" s="176"/>
      <c r="K186" s="176"/>
      <c r="L186" s="176"/>
      <c r="M186" s="176"/>
      <c r="N186" s="176"/>
      <c r="O186" s="176"/>
      <c r="P186" s="176"/>
      <c r="Q186" s="176"/>
      <c r="R186" s="176"/>
      <c r="S186" s="176"/>
      <c r="T186" s="176"/>
      <c r="U186" s="176"/>
      <c r="V186" s="176"/>
      <c r="W186" s="176"/>
      <c r="X186" s="176"/>
      <c r="Y186" s="176"/>
      <c r="Z186" s="176"/>
      <c r="AA186" s="176"/>
      <c r="AB186" s="176"/>
      <c r="AC186" s="169"/>
    </row>
    <row r="187" spans="1:29" s="12" customFormat="1" x14ac:dyDescent="0.3">
      <c r="A187" s="169"/>
      <c r="B187" s="176"/>
      <c r="C187" s="176"/>
      <c r="D187" s="176"/>
      <c r="E187" s="176"/>
      <c r="F187" s="176"/>
      <c r="G187" s="176"/>
      <c r="H187" s="176"/>
      <c r="I187" s="176"/>
      <c r="J187" s="176"/>
      <c r="K187" s="176"/>
      <c r="L187" s="176"/>
      <c r="M187" s="176"/>
      <c r="N187" s="176"/>
      <c r="O187" s="176"/>
      <c r="P187" s="176"/>
      <c r="Q187" s="176"/>
      <c r="R187" s="176"/>
      <c r="S187" s="176"/>
      <c r="T187" s="176"/>
      <c r="U187" s="176"/>
      <c r="V187" s="176"/>
      <c r="W187" s="176"/>
      <c r="X187" s="176"/>
      <c r="Y187" s="176"/>
      <c r="Z187" s="176"/>
      <c r="AA187" s="176"/>
      <c r="AB187" s="176"/>
      <c r="AC187" s="169"/>
    </row>
    <row r="188" spans="1:29" s="12" customFormat="1" x14ac:dyDescent="0.3">
      <c r="A188" s="169"/>
      <c r="B188" s="176"/>
      <c r="C188" s="176"/>
      <c r="D188" s="176"/>
      <c r="E188" s="176"/>
      <c r="F188" s="176"/>
      <c r="G188" s="176"/>
      <c r="H188" s="176"/>
      <c r="I188" s="176"/>
      <c r="J188" s="176"/>
      <c r="K188" s="176"/>
      <c r="L188" s="176"/>
      <c r="M188" s="176"/>
      <c r="N188" s="176"/>
      <c r="O188" s="176"/>
      <c r="P188" s="176"/>
      <c r="Q188" s="176"/>
      <c r="R188" s="176"/>
      <c r="S188" s="176"/>
      <c r="T188" s="176"/>
      <c r="U188" s="176"/>
      <c r="V188" s="176"/>
      <c r="W188" s="176"/>
      <c r="X188" s="176"/>
      <c r="Y188" s="176"/>
      <c r="Z188" s="176"/>
      <c r="AA188" s="176"/>
      <c r="AB188" s="176"/>
      <c r="AC188" s="169"/>
    </row>
    <row r="189" spans="1:29" s="12" customFormat="1" x14ac:dyDescent="0.3">
      <c r="A189" s="169"/>
      <c r="B189" s="176"/>
      <c r="C189" s="176"/>
      <c r="D189" s="176"/>
      <c r="E189" s="176"/>
      <c r="F189" s="176"/>
      <c r="G189" s="176"/>
      <c r="H189" s="176"/>
      <c r="I189" s="176"/>
      <c r="J189" s="176"/>
      <c r="K189" s="176"/>
      <c r="L189" s="176"/>
      <c r="M189" s="176"/>
      <c r="N189" s="176"/>
      <c r="O189" s="176"/>
      <c r="P189" s="176"/>
      <c r="Q189" s="176"/>
      <c r="R189" s="176"/>
      <c r="S189" s="176"/>
      <c r="T189" s="176"/>
      <c r="U189" s="176"/>
      <c r="V189" s="176"/>
      <c r="W189" s="176"/>
      <c r="X189" s="176"/>
      <c r="Y189" s="176"/>
      <c r="Z189" s="176"/>
      <c r="AA189" s="176"/>
      <c r="AB189" s="176"/>
      <c r="AC189" s="169"/>
    </row>
    <row r="190" spans="1:29" s="12" customFormat="1" x14ac:dyDescent="0.3">
      <c r="A190" s="169"/>
      <c r="B190" s="176"/>
      <c r="C190" s="176"/>
      <c r="D190" s="176"/>
      <c r="E190" s="176"/>
      <c r="F190" s="176"/>
      <c r="G190" s="176"/>
      <c r="H190" s="176"/>
      <c r="I190" s="176"/>
      <c r="J190" s="176"/>
      <c r="K190" s="176"/>
      <c r="L190" s="176"/>
      <c r="M190" s="176"/>
      <c r="N190" s="176"/>
      <c r="O190" s="176"/>
      <c r="P190" s="176"/>
      <c r="Q190" s="176"/>
      <c r="R190" s="176"/>
      <c r="S190" s="176"/>
      <c r="T190" s="176"/>
      <c r="U190" s="176"/>
      <c r="V190" s="176"/>
      <c r="W190" s="176"/>
      <c r="X190" s="176"/>
      <c r="Y190" s="176"/>
      <c r="Z190" s="176"/>
      <c r="AA190" s="176"/>
      <c r="AB190" s="176"/>
      <c r="AC190" s="169"/>
    </row>
    <row r="191" spans="1:29" s="12" customFormat="1" x14ac:dyDescent="0.3">
      <c r="A191" s="169"/>
      <c r="B191" s="176"/>
      <c r="C191" s="176"/>
      <c r="D191" s="176"/>
      <c r="E191" s="176"/>
      <c r="F191" s="176"/>
      <c r="G191" s="176"/>
      <c r="H191" s="176"/>
      <c r="I191" s="176"/>
      <c r="J191" s="176"/>
      <c r="K191" s="176"/>
      <c r="L191" s="176"/>
      <c r="M191" s="176"/>
      <c r="N191" s="176"/>
      <c r="O191" s="176"/>
      <c r="P191" s="176"/>
      <c r="Q191" s="176"/>
      <c r="R191" s="176"/>
      <c r="S191" s="176"/>
      <c r="T191" s="176"/>
      <c r="U191" s="176"/>
      <c r="V191" s="176"/>
      <c r="W191" s="176"/>
      <c r="X191" s="176"/>
      <c r="Y191" s="176"/>
      <c r="Z191" s="176"/>
      <c r="AA191" s="176"/>
      <c r="AB191" s="176"/>
      <c r="AC191" s="169"/>
    </row>
    <row r="192" spans="1:29" s="12" customFormat="1" x14ac:dyDescent="0.3">
      <c r="A192" s="169"/>
      <c r="B192" s="176"/>
      <c r="C192" s="176"/>
      <c r="D192" s="176"/>
      <c r="E192" s="176"/>
      <c r="F192" s="176"/>
      <c r="G192" s="176"/>
      <c r="H192" s="176"/>
      <c r="I192" s="176"/>
      <c r="J192" s="176"/>
      <c r="K192" s="176"/>
      <c r="L192" s="176"/>
      <c r="M192" s="176"/>
      <c r="N192" s="176"/>
      <c r="O192" s="176"/>
      <c r="P192" s="176"/>
      <c r="Q192" s="176"/>
      <c r="R192" s="176"/>
      <c r="S192" s="176"/>
      <c r="T192" s="176"/>
      <c r="U192" s="176"/>
      <c r="V192" s="176"/>
      <c r="W192" s="176"/>
      <c r="X192" s="176"/>
      <c r="Y192" s="176"/>
      <c r="Z192" s="176"/>
      <c r="AA192" s="176"/>
      <c r="AB192" s="176"/>
      <c r="AC192" s="169"/>
    </row>
    <row r="193" spans="1:29" s="12" customFormat="1" x14ac:dyDescent="0.3">
      <c r="A193" s="169"/>
      <c r="B193" s="176"/>
      <c r="C193" s="176"/>
      <c r="D193" s="176"/>
      <c r="E193" s="176"/>
      <c r="F193" s="176"/>
      <c r="G193" s="176"/>
      <c r="H193" s="176"/>
      <c r="I193" s="176"/>
      <c r="J193" s="176"/>
      <c r="K193" s="176"/>
      <c r="L193" s="176"/>
      <c r="M193" s="176"/>
      <c r="N193" s="176"/>
      <c r="O193" s="176"/>
      <c r="P193" s="176"/>
      <c r="Q193" s="176"/>
      <c r="R193" s="176"/>
      <c r="S193" s="176"/>
      <c r="T193" s="176"/>
      <c r="U193" s="176"/>
      <c r="V193" s="176"/>
      <c r="W193" s="176"/>
      <c r="X193" s="176"/>
      <c r="Y193" s="176"/>
      <c r="Z193" s="176"/>
      <c r="AA193" s="176"/>
      <c r="AB193" s="176"/>
      <c r="AC193" s="169"/>
    </row>
    <row r="194" spans="1:29" s="12" customFormat="1" x14ac:dyDescent="0.3">
      <c r="A194" s="169"/>
      <c r="B194" s="176"/>
      <c r="C194" s="176"/>
      <c r="D194" s="176"/>
      <c r="E194" s="176"/>
      <c r="F194" s="176"/>
      <c r="G194" s="176"/>
      <c r="H194" s="176"/>
      <c r="I194" s="176"/>
      <c r="J194" s="176"/>
      <c r="K194" s="176"/>
      <c r="L194" s="176"/>
      <c r="M194" s="176"/>
      <c r="N194" s="176"/>
      <c r="O194" s="176"/>
      <c r="P194" s="176"/>
      <c r="Q194" s="176"/>
      <c r="R194" s="176"/>
      <c r="S194" s="176"/>
      <c r="T194" s="176"/>
      <c r="U194" s="176"/>
      <c r="V194" s="176"/>
      <c r="W194" s="176"/>
      <c r="X194" s="176"/>
      <c r="Y194" s="176"/>
      <c r="Z194" s="176"/>
      <c r="AA194" s="176"/>
      <c r="AB194" s="176"/>
      <c r="AC194" s="169"/>
    </row>
    <row r="195" spans="1:29" s="12" customFormat="1" x14ac:dyDescent="0.3">
      <c r="A195" s="169"/>
      <c r="B195" s="176"/>
      <c r="C195" s="176"/>
      <c r="D195" s="176"/>
      <c r="E195" s="176"/>
      <c r="F195" s="176"/>
      <c r="G195" s="176"/>
      <c r="H195" s="176"/>
      <c r="I195" s="176"/>
      <c r="J195" s="176"/>
      <c r="K195" s="176"/>
      <c r="L195" s="176"/>
      <c r="M195" s="176"/>
      <c r="N195" s="176"/>
      <c r="O195" s="176"/>
      <c r="P195" s="176"/>
      <c r="Q195" s="176"/>
      <c r="R195" s="176"/>
      <c r="S195" s="176"/>
      <c r="T195" s="176"/>
      <c r="U195" s="176"/>
      <c r="V195" s="176"/>
      <c r="W195" s="176"/>
      <c r="X195" s="176"/>
      <c r="Y195" s="176"/>
      <c r="Z195" s="176"/>
      <c r="AA195" s="176"/>
      <c r="AB195" s="176"/>
      <c r="AC195" s="169"/>
    </row>
    <row r="196" spans="1:29" s="12" customFormat="1" ht="20.25" customHeight="1" x14ac:dyDescent="0.3">
      <c r="A196" s="169"/>
      <c r="B196" s="169"/>
      <c r="C196" s="169"/>
      <c r="D196" s="169"/>
      <c r="E196" s="169"/>
      <c r="F196" s="169"/>
      <c r="G196" s="169"/>
      <c r="H196" s="169"/>
      <c r="I196" s="169"/>
      <c r="J196" s="169"/>
      <c r="K196" s="169"/>
      <c r="L196" s="169"/>
      <c r="M196" s="169"/>
      <c r="N196" s="169"/>
      <c r="O196" s="169"/>
      <c r="P196" s="169"/>
      <c r="Q196" s="169"/>
      <c r="R196" s="169"/>
      <c r="S196" s="169"/>
      <c r="T196" s="169"/>
      <c r="U196" s="169"/>
      <c r="V196" s="169"/>
      <c r="W196" s="169"/>
      <c r="X196" s="169"/>
      <c r="Y196" s="169"/>
      <c r="Z196" s="169"/>
      <c r="AA196" s="169"/>
      <c r="AB196" s="169"/>
      <c r="AC196" s="169"/>
    </row>
    <row r="197" spans="1:29" s="12" customFormat="1" x14ac:dyDescent="0.3">
      <c r="A197" s="169"/>
      <c r="B197" s="176"/>
      <c r="C197" s="176"/>
      <c r="D197" s="176"/>
      <c r="E197" s="176"/>
      <c r="F197" s="176"/>
      <c r="G197" s="176"/>
      <c r="H197" s="176"/>
      <c r="I197" s="176"/>
      <c r="J197" s="176"/>
      <c r="K197" s="176"/>
      <c r="L197" s="176"/>
      <c r="M197" s="176"/>
      <c r="N197" s="176"/>
      <c r="O197" s="176"/>
      <c r="P197" s="176"/>
      <c r="Q197" s="176"/>
      <c r="R197" s="176"/>
      <c r="S197" s="176"/>
      <c r="T197" s="176"/>
      <c r="U197" s="176"/>
      <c r="V197" s="176"/>
      <c r="W197" s="176"/>
      <c r="X197" s="176"/>
      <c r="Y197" s="176"/>
      <c r="Z197" s="176"/>
      <c r="AA197" s="176"/>
      <c r="AB197" s="176"/>
      <c r="AC197" s="169"/>
    </row>
    <row r="198" spans="1:29" s="12" customFormat="1" x14ac:dyDescent="0.3">
      <c r="A198" s="169"/>
      <c r="B198" s="176"/>
      <c r="C198" s="176"/>
      <c r="D198" s="176"/>
      <c r="E198" s="176"/>
      <c r="F198" s="176"/>
      <c r="G198" s="176"/>
      <c r="H198" s="176"/>
      <c r="I198" s="176"/>
      <c r="J198" s="176"/>
      <c r="K198" s="176"/>
      <c r="L198" s="176"/>
      <c r="M198" s="176"/>
      <c r="N198" s="176"/>
      <c r="O198" s="176"/>
      <c r="P198" s="176"/>
      <c r="Q198" s="176"/>
      <c r="R198" s="176"/>
      <c r="S198" s="176"/>
      <c r="T198" s="176"/>
      <c r="U198" s="176"/>
      <c r="V198" s="176"/>
      <c r="W198" s="176"/>
      <c r="X198" s="176"/>
      <c r="Y198" s="176"/>
      <c r="Z198" s="176"/>
      <c r="AA198" s="176"/>
      <c r="AB198" s="176"/>
      <c r="AC198" s="169"/>
    </row>
    <row r="199" spans="1:29" s="12" customFormat="1" x14ac:dyDescent="0.3">
      <c r="A199" s="169"/>
      <c r="B199" s="176"/>
      <c r="C199" s="176"/>
      <c r="D199" s="176"/>
      <c r="E199" s="176"/>
      <c r="F199" s="176"/>
      <c r="G199" s="176"/>
      <c r="H199" s="176"/>
      <c r="I199" s="176"/>
      <c r="J199" s="176"/>
      <c r="K199" s="176"/>
      <c r="L199" s="176"/>
      <c r="M199" s="176"/>
      <c r="N199" s="176"/>
      <c r="O199" s="176"/>
      <c r="P199" s="176"/>
      <c r="Q199" s="176"/>
      <c r="R199" s="176"/>
      <c r="S199" s="176"/>
      <c r="T199" s="176"/>
      <c r="U199" s="176"/>
      <c r="V199" s="176"/>
      <c r="W199" s="176"/>
      <c r="X199" s="176"/>
      <c r="Y199" s="176"/>
      <c r="Z199" s="176"/>
      <c r="AA199" s="176"/>
      <c r="AB199" s="176"/>
      <c r="AC199" s="169"/>
    </row>
    <row r="200" spans="1:29" s="12" customFormat="1" x14ac:dyDescent="0.3">
      <c r="A200" s="169"/>
      <c r="B200" s="176"/>
      <c r="C200" s="176"/>
      <c r="D200" s="176"/>
      <c r="E200" s="176"/>
      <c r="F200" s="176"/>
      <c r="G200" s="176"/>
      <c r="H200" s="176"/>
      <c r="I200" s="176"/>
      <c r="J200" s="176"/>
      <c r="K200" s="176"/>
      <c r="L200" s="176"/>
      <c r="M200" s="176"/>
      <c r="N200" s="176"/>
      <c r="O200" s="176"/>
      <c r="P200" s="176"/>
      <c r="Q200" s="176"/>
      <c r="R200" s="176"/>
      <c r="S200" s="176"/>
      <c r="T200" s="176"/>
      <c r="U200" s="176"/>
      <c r="V200" s="176"/>
      <c r="W200" s="176"/>
      <c r="X200" s="176"/>
      <c r="Y200" s="176"/>
      <c r="Z200" s="176"/>
      <c r="AA200" s="176"/>
      <c r="AB200" s="176"/>
      <c r="AC200" s="169"/>
    </row>
    <row r="201" spans="1:29" s="12" customFormat="1" x14ac:dyDescent="0.3">
      <c r="A201" s="169"/>
      <c r="B201" s="176"/>
      <c r="C201" s="176"/>
      <c r="D201" s="176"/>
      <c r="E201" s="176"/>
      <c r="F201" s="176"/>
      <c r="G201" s="176"/>
      <c r="H201" s="176"/>
      <c r="I201" s="176"/>
      <c r="J201" s="176"/>
      <c r="K201" s="176"/>
      <c r="L201" s="176"/>
      <c r="M201" s="176"/>
      <c r="N201" s="176"/>
      <c r="O201" s="176"/>
      <c r="P201" s="176"/>
      <c r="Q201" s="176"/>
      <c r="R201" s="176"/>
      <c r="S201" s="176"/>
      <c r="T201" s="176"/>
      <c r="U201" s="176"/>
      <c r="V201" s="176"/>
      <c r="W201" s="176"/>
      <c r="X201" s="176"/>
      <c r="Y201" s="176"/>
      <c r="Z201" s="176"/>
      <c r="AA201" s="176"/>
      <c r="AB201" s="176"/>
      <c r="AC201" s="169"/>
    </row>
    <row r="202" spans="1:29" s="12" customFormat="1" x14ac:dyDescent="0.3">
      <c r="A202" s="169"/>
      <c r="B202" s="176"/>
      <c r="C202" s="176"/>
      <c r="D202" s="176"/>
      <c r="E202" s="176"/>
      <c r="F202" s="176"/>
      <c r="G202" s="176"/>
      <c r="H202" s="176"/>
      <c r="I202" s="176"/>
      <c r="J202" s="176"/>
      <c r="K202" s="176"/>
      <c r="L202" s="176"/>
      <c r="M202" s="176"/>
      <c r="N202" s="176"/>
      <c r="O202" s="176"/>
      <c r="P202" s="176"/>
      <c r="Q202" s="176"/>
      <c r="R202" s="176"/>
      <c r="S202" s="176"/>
      <c r="T202" s="176"/>
      <c r="U202" s="176"/>
      <c r="V202" s="176"/>
      <c r="W202" s="176"/>
      <c r="X202" s="176"/>
      <c r="Y202" s="176"/>
      <c r="Z202" s="176"/>
      <c r="AA202" s="176"/>
      <c r="AB202" s="176"/>
      <c r="AC202" s="169"/>
    </row>
    <row r="203" spans="1:29" s="12" customFormat="1" x14ac:dyDescent="0.3">
      <c r="A203" s="169"/>
      <c r="B203" s="176"/>
      <c r="C203" s="176"/>
      <c r="D203" s="176"/>
      <c r="E203" s="176"/>
      <c r="F203" s="176"/>
      <c r="G203" s="176"/>
      <c r="H203" s="176"/>
      <c r="I203" s="176"/>
      <c r="J203" s="176"/>
      <c r="K203" s="176"/>
      <c r="L203" s="176"/>
      <c r="M203" s="176"/>
      <c r="N203" s="176"/>
      <c r="O203" s="176"/>
      <c r="P203" s="176"/>
      <c r="Q203" s="176"/>
      <c r="R203" s="176"/>
      <c r="S203" s="176"/>
      <c r="T203" s="176"/>
      <c r="U203" s="176"/>
      <c r="V203" s="176"/>
      <c r="W203" s="176"/>
      <c r="X203" s="176"/>
      <c r="Y203" s="176"/>
      <c r="Z203" s="176"/>
      <c r="AA203" s="176"/>
      <c r="AB203" s="176"/>
      <c r="AC203" s="169"/>
    </row>
    <row r="204" spans="1:29" s="12" customFormat="1" x14ac:dyDescent="0.3">
      <c r="A204" s="169"/>
      <c r="B204" s="176"/>
      <c r="C204" s="176"/>
      <c r="D204" s="176"/>
      <c r="E204" s="176"/>
      <c r="F204" s="176"/>
      <c r="G204" s="176"/>
      <c r="H204" s="176"/>
      <c r="I204" s="176"/>
      <c r="J204" s="176"/>
      <c r="K204" s="176"/>
      <c r="L204" s="176"/>
      <c r="M204" s="176"/>
      <c r="N204" s="176"/>
      <c r="O204" s="176"/>
      <c r="P204" s="176"/>
      <c r="Q204" s="176"/>
      <c r="R204" s="176"/>
      <c r="S204" s="176"/>
      <c r="T204" s="176"/>
      <c r="U204" s="176"/>
      <c r="V204" s="176"/>
      <c r="W204" s="176"/>
      <c r="X204" s="176"/>
      <c r="Y204" s="176"/>
      <c r="Z204" s="176"/>
      <c r="AA204" s="176"/>
      <c r="AB204" s="176"/>
      <c r="AC204" s="169"/>
    </row>
    <row r="205" spans="1:29" s="12" customFormat="1" x14ac:dyDescent="0.3">
      <c r="A205" s="169"/>
      <c r="B205" s="176"/>
      <c r="C205" s="176"/>
      <c r="D205" s="176"/>
      <c r="E205" s="176"/>
      <c r="F205" s="176"/>
      <c r="G205" s="176"/>
      <c r="H205" s="176"/>
      <c r="I205" s="176"/>
      <c r="J205" s="176"/>
      <c r="K205" s="176"/>
      <c r="L205" s="176"/>
      <c r="M205" s="176"/>
      <c r="N205" s="176"/>
      <c r="O205" s="176"/>
      <c r="P205" s="176"/>
      <c r="Q205" s="176"/>
      <c r="R205" s="176"/>
      <c r="S205" s="176"/>
      <c r="T205" s="176"/>
      <c r="U205" s="176"/>
      <c r="V205" s="176"/>
      <c r="W205" s="176"/>
      <c r="X205" s="176"/>
      <c r="Y205" s="176"/>
      <c r="Z205" s="176"/>
      <c r="AA205" s="176"/>
      <c r="AB205" s="176"/>
      <c r="AC205" s="169"/>
    </row>
    <row r="206" spans="1:29" s="12" customFormat="1" x14ac:dyDescent="0.3">
      <c r="A206" s="169"/>
      <c r="B206" s="176"/>
      <c r="C206" s="176"/>
      <c r="D206" s="176"/>
      <c r="E206" s="176"/>
      <c r="F206" s="176"/>
      <c r="G206" s="176"/>
      <c r="H206" s="176"/>
      <c r="I206" s="176"/>
      <c r="J206" s="176"/>
      <c r="K206" s="176"/>
      <c r="L206" s="176"/>
      <c r="M206" s="176"/>
      <c r="N206" s="176"/>
      <c r="O206" s="176"/>
      <c r="P206" s="176"/>
      <c r="Q206" s="176"/>
      <c r="R206" s="176"/>
      <c r="S206" s="176"/>
      <c r="T206" s="176"/>
      <c r="U206" s="176"/>
      <c r="V206" s="176"/>
      <c r="W206" s="176"/>
      <c r="X206" s="176"/>
      <c r="Y206" s="176"/>
      <c r="Z206" s="176"/>
      <c r="AA206" s="176"/>
      <c r="AB206" s="176"/>
      <c r="AC206" s="169"/>
    </row>
    <row r="207" spans="1:29" s="12" customFormat="1" x14ac:dyDescent="0.3">
      <c r="A207" s="169"/>
      <c r="B207" s="176"/>
      <c r="C207" s="176"/>
      <c r="D207" s="176"/>
      <c r="E207" s="176"/>
      <c r="F207" s="176"/>
      <c r="G207" s="176"/>
      <c r="H207" s="176"/>
      <c r="I207" s="176"/>
      <c r="J207" s="176"/>
      <c r="K207" s="176"/>
      <c r="L207" s="176"/>
      <c r="M207" s="176"/>
      <c r="N207" s="176"/>
      <c r="O207" s="176"/>
      <c r="P207" s="176"/>
      <c r="Q207" s="176"/>
      <c r="R207" s="176"/>
      <c r="S207" s="176"/>
      <c r="T207" s="176"/>
      <c r="U207" s="176"/>
      <c r="V207" s="176"/>
      <c r="W207" s="176"/>
      <c r="X207" s="176"/>
      <c r="Y207" s="176"/>
      <c r="Z207" s="176"/>
      <c r="AA207" s="176"/>
      <c r="AB207" s="176"/>
      <c r="AC207" s="169"/>
    </row>
    <row r="208" spans="1:29" s="12" customFormat="1" x14ac:dyDescent="0.3">
      <c r="A208" s="169"/>
      <c r="B208" s="176"/>
      <c r="C208" s="176"/>
      <c r="D208" s="176"/>
      <c r="E208" s="176"/>
      <c r="F208" s="176"/>
      <c r="G208" s="176"/>
      <c r="H208" s="176"/>
      <c r="I208" s="176"/>
      <c r="J208" s="176"/>
      <c r="K208" s="176"/>
      <c r="L208" s="176"/>
      <c r="M208" s="176"/>
      <c r="N208" s="176"/>
      <c r="O208" s="176"/>
      <c r="P208" s="176"/>
      <c r="Q208" s="176"/>
      <c r="R208" s="176"/>
      <c r="S208" s="176"/>
      <c r="T208" s="176"/>
      <c r="U208" s="176"/>
      <c r="V208" s="176"/>
      <c r="W208" s="176"/>
      <c r="X208" s="176"/>
      <c r="Y208" s="176"/>
      <c r="Z208" s="176"/>
      <c r="AA208" s="176"/>
      <c r="AB208" s="176"/>
      <c r="AC208" s="169"/>
    </row>
    <row r="209" spans="1:29" s="12" customFormat="1" x14ac:dyDescent="0.3">
      <c r="A209" s="169"/>
      <c r="B209" s="176"/>
      <c r="C209" s="176"/>
      <c r="D209" s="176"/>
      <c r="E209" s="176"/>
      <c r="F209" s="176"/>
      <c r="G209" s="176"/>
      <c r="H209" s="176"/>
      <c r="I209" s="176"/>
      <c r="J209" s="176"/>
      <c r="K209" s="176"/>
      <c r="L209" s="176"/>
      <c r="M209" s="176"/>
      <c r="N209" s="176"/>
      <c r="O209" s="176"/>
      <c r="P209" s="176"/>
      <c r="Q209" s="176"/>
      <c r="R209" s="176"/>
      <c r="S209" s="176"/>
      <c r="T209" s="176"/>
      <c r="U209" s="176"/>
      <c r="V209" s="176"/>
      <c r="W209" s="176"/>
      <c r="X209" s="176"/>
      <c r="Y209" s="176"/>
      <c r="Z209" s="176"/>
      <c r="AA209" s="176"/>
      <c r="AB209" s="176"/>
      <c r="AC209" s="169"/>
    </row>
    <row r="210" spans="1:29" s="12" customFormat="1" x14ac:dyDescent="0.3">
      <c r="A210" s="169"/>
      <c r="B210" s="176"/>
      <c r="C210" s="176"/>
      <c r="D210" s="176"/>
      <c r="E210" s="176"/>
      <c r="F210" s="176"/>
      <c r="G210" s="176"/>
      <c r="H210" s="176"/>
      <c r="I210" s="176"/>
      <c r="J210" s="176"/>
      <c r="K210" s="176"/>
      <c r="L210" s="176"/>
      <c r="M210" s="176"/>
      <c r="N210" s="176"/>
      <c r="O210" s="176"/>
      <c r="P210" s="176"/>
      <c r="Q210" s="176"/>
      <c r="R210" s="176"/>
      <c r="S210" s="176"/>
      <c r="T210" s="176"/>
      <c r="U210" s="176"/>
      <c r="V210" s="176"/>
      <c r="W210" s="176"/>
      <c r="X210" s="176"/>
      <c r="Y210" s="176"/>
      <c r="Z210" s="176"/>
      <c r="AA210" s="176"/>
      <c r="AB210" s="176"/>
      <c r="AC210" s="169"/>
    </row>
    <row r="211" spans="1:29" s="12" customFormat="1" x14ac:dyDescent="0.3">
      <c r="A211" s="169"/>
      <c r="B211" s="176"/>
      <c r="C211" s="176"/>
      <c r="D211" s="176"/>
      <c r="E211" s="176"/>
      <c r="F211" s="176"/>
      <c r="G211" s="176"/>
      <c r="H211" s="176"/>
      <c r="I211" s="176"/>
      <c r="J211" s="176"/>
      <c r="K211" s="176"/>
      <c r="L211" s="176"/>
      <c r="M211" s="176"/>
      <c r="N211" s="176"/>
      <c r="O211" s="176"/>
      <c r="P211" s="176"/>
      <c r="Q211" s="176"/>
      <c r="R211" s="176"/>
      <c r="S211" s="176"/>
      <c r="T211" s="176"/>
      <c r="U211" s="176"/>
      <c r="V211" s="176"/>
      <c r="W211" s="176"/>
      <c r="X211" s="176"/>
      <c r="Y211" s="176"/>
      <c r="Z211" s="176"/>
      <c r="AA211" s="176"/>
      <c r="AB211" s="176"/>
      <c r="AC211" s="169"/>
    </row>
    <row r="212" spans="1:29" s="12" customFormat="1" x14ac:dyDescent="0.3">
      <c r="A212" s="169"/>
      <c r="B212" s="176"/>
      <c r="C212" s="176"/>
      <c r="D212" s="176"/>
      <c r="E212" s="176"/>
      <c r="F212" s="176"/>
      <c r="G212" s="176"/>
      <c r="H212" s="176"/>
      <c r="I212" s="176"/>
      <c r="J212" s="176"/>
      <c r="K212" s="176"/>
      <c r="L212" s="176"/>
      <c r="M212" s="176"/>
      <c r="N212" s="176"/>
      <c r="O212" s="176"/>
      <c r="P212" s="176"/>
      <c r="Q212" s="176"/>
      <c r="R212" s="176"/>
      <c r="S212" s="176"/>
      <c r="T212" s="176"/>
      <c r="U212" s="176"/>
      <c r="V212" s="176"/>
      <c r="W212" s="176"/>
      <c r="X212" s="176"/>
      <c r="Y212" s="176"/>
      <c r="Z212" s="176"/>
      <c r="AA212" s="176"/>
      <c r="AB212" s="176"/>
      <c r="AC212" s="169"/>
    </row>
    <row r="213" spans="1:29" s="12" customFormat="1" x14ac:dyDescent="0.3">
      <c r="A213" s="169"/>
      <c r="B213" s="176"/>
      <c r="C213" s="176"/>
      <c r="D213" s="176"/>
      <c r="E213" s="176"/>
      <c r="F213" s="176"/>
      <c r="G213" s="176"/>
      <c r="H213" s="176"/>
      <c r="I213" s="176"/>
      <c r="J213" s="176"/>
      <c r="K213" s="176"/>
      <c r="L213" s="176"/>
      <c r="M213" s="176"/>
      <c r="N213" s="176"/>
      <c r="O213" s="176"/>
      <c r="P213" s="176"/>
      <c r="Q213" s="176"/>
      <c r="R213" s="176"/>
      <c r="S213" s="176"/>
      <c r="T213" s="176"/>
      <c r="U213" s="176"/>
      <c r="V213" s="176"/>
      <c r="W213" s="176"/>
      <c r="X213" s="176"/>
      <c r="Y213" s="176"/>
      <c r="Z213" s="176"/>
      <c r="AA213" s="176"/>
      <c r="AB213" s="176"/>
      <c r="AC213" s="169"/>
    </row>
    <row r="214" spans="1:29" s="12" customFormat="1" x14ac:dyDescent="0.3">
      <c r="A214" s="169"/>
      <c r="B214" s="176"/>
      <c r="C214" s="176"/>
      <c r="D214" s="176"/>
      <c r="E214" s="176"/>
      <c r="F214" s="176"/>
      <c r="G214" s="176"/>
      <c r="H214" s="176"/>
      <c r="I214" s="176"/>
      <c r="J214" s="176"/>
      <c r="K214" s="176"/>
      <c r="L214" s="176"/>
      <c r="M214" s="176"/>
      <c r="N214" s="176"/>
      <c r="O214" s="176"/>
      <c r="P214" s="176"/>
      <c r="Q214" s="176"/>
      <c r="R214" s="176"/>
      <c r="S214" s="176"/>
      <c r="T214" s="176"/>
      <c r="U214" s="176"/>
      <c r="V214" s="176"/>
      <c r="W214" s="176"/>
      <c r="X214" s="176"/>
      <c r="Y214" s="176"/>
      <c r="Z214" s="176"/>
      <c r="AA214" s="176"/>
      <c r="AB214" s="176"/>
      <c r="AC214" s="169"/>
    </row>
    <row r="215" spans="1:29" s="12" customFormat="1" x14ac:dyDescent="0.3">
      <c r="A215" s="169"/>
      <c r="B215" s="176"/>
      <c r="C215" s="176"/>
      <c r="D215" s="176"/>
      <c r="E215" s="176"/>
      <c r="F215" s="176"/>
      <c r="G215" s="176"/>
      <c r="H215" s="176"/>
      <c r="I215" s="176"/>
      <c r="J215" s="176"/>
      <c r="K215" s="176"/>
      <c r="L215" s="176"/>
      <c r="M215" s="176"/>
      <c r="N215" s="176"/>
      <c r="O215" s="176"/>
      <c r="P215" s="176"/>
      <c r="Q215" s="176"/>
      <c r="R215" s="176"/>
      <c r="S215" s="176"/>
      <c r="T215" s="176"/>
      <c r="U215" s="176"/>
      <c r="V215" s="176"/>
      <c r="W215" s="176"/>
      <c r="X215" s="176"/>
      <c r="Y215" s="176"/>
      <c r="Z215" s="176"/>
      <c r="AA215" s="176"/>
      <c r="AB215" s="176"/>
      <c r="AC215" s="169"/>
    </row>
    <row r="216" spans="1:29" s="12" customFormat="1" x14ac:dyDescent="0.3">
      <c r="A216" s="169"/>
      <c r="B216" s="176"/>
      <c r="C216" s="176"/>
      <c r="D216" s="176"/>
      <c r="E216" s="176"/>
      <c r="F216" s="176"/>
      <c r="G216" s="176"/>
      <c r="H216" s="176"/>
      <c r="I216" s="176"/>
      <c r="J216" s="176"/>
      <c r="K216" s="176"/>
      <c r="L216" s="176"/>
      <c r="M216" s="176"/>
      <c r="N216" s="176"/>
      <c r="O216" s="176"/>
      <c r="P216" s="176"/>
      <c r="Q216" s="176"/>
      <c r="R216" s="176"/>
      <c r="S216" s="176"/>
      <c r="T216" s="176"/>
      <c r="U216" s="176"/>
      <c r="V216" s="176"/>
      <c r="W216" s="176"/>
      <c r="X216" s="176"/>
      <c r="Y216" s="176"/>
      <c r="Z216" s="176"/>
      <c r="AA216" s="176"/>
      <c r="AB216" s="176"/>
      <c r="AC216" s="169"/>
    </row>
    <row r="217" spans="1:29" s="12" customFormat="1" x14ac:dyDescent="0.3">
      <c r="A217" s="169"/>
      <c r="B217" s="176"/>
      <c r="C217" s="176"/>
      <c r="D217" s="176"/>
      <c r="E217" s="176"/>
      <c r="F217" s="176"/>
      <c r="G217" s="176"/>
      <c r="H217" s="176"/>
      <c r="I217" s="176"/>
      <c r="J217" s="176"/>
      <c r="K217" s="176"/>
      <c r="L217" s="176"/>
      <c r="M217" s="176"/>
      <c r="N217" s="176"/>
      <c r="O217" s="176"/>
      <c r="P217" s="176"/>
      <c r="Q217" s="176"/>
      <c r="R217" s="176"/>
      <c r="S217" s="176"/>
      <c r="T217" s="176"/>
      <c r="U217" s="176"/>
      <c r="V217" s="176"/>
      <c r="W217" s="176"/>
      <c r="X217" s="176"/>
      <c r="Y217" s="176"/>
      <c r="Z217" s="176"/>
      <c r="AA217" s="176"/>
      <c r="AB217" s="176"/>
      <c r="AC217" s="169"/>
    </row>
    <row r="218" spans="1:29" s="12" customFormat="1" x14ac:dyDescent="0.3">
      <c r="A218" s="169"/>
      <c r="B218" s="176"/>
      <c r="C218" s="176"/>
      <c r="D218" s="176"/>
      <c r="E218" s="176"/>
      <c r="F218" s="176"/>
      <c r="G218" s="176"/>
      <c r="H218" s="176"/>
      <c r="I218" s="176"/>
      <c r="J218" s="176"/>
      <c r="K218" s="176"/>
      <c r="L218" s="176"/>
      <c r="M218" s="176"/>
      <c r="N218" s="176"/>
      <c r="O218" s="176"/>
      <c r="P218" s="176"/>
      <c r="Q218" s="176"/>
      <c r="R218" s="176"/>
      <c r="S218" s="176"/>
      <c r="T218" s="176"/>
      <c r="U218" s="176"/>
      <c r="V218" s="176"/>
      <c r="W218" s="176"/>
      <c r="X218" s="176"/>
      <c r="Y218" s="176"/>
      <c r="Z218" s="176"/>
      <c r="AA218" s="176"/>
      <c r="AB218" s="176"/>
      <c r="AC218" s="169"/>
    </row>
    <row r="219" spans="1:29" s="12" customFormat="1" x14ac:dyDescent="0.3">
      <c r="A219" s="169"/>
      <c r="B219" s="176"/>
      <c r="C219" s="176"/>
      <c r="D219" s="176"/>
      <c r="E219" s="176"/>
      <c r="F219" s="176"/>
      <c r="G219" s="176"/>
      <c r="H219" s="176"/>
      <c r="I219" s="176"/>
      <c r="J219" s="176"/>
      <c r="K219" s="176"/>
      <c r="L219" s="176"/>
      <c r="M219" s="176"/>
      <c r="N219" s="176"/>
      <c r="O219" s="176"/>
      <c r="P219" s="176"/>
      <c r="Q219" s="176"/>
      <c r="R219" s="176"/>
      <c r="S219" s="176"/>
      <c r="T219" s="176"/>
      <c r="U219" s="176"/>
      <c r="V219" s="176"/>
      <c r="W219" s="176"/>
      <c r="X219" s="176"/>
      <c r="Y219" s="176"/>
      <c r="Z219" s="176"/>
      <c r="AA219" s="176"/>
      <c r="AB219" s="176"/>
      <c r="AC219" s="169"/>
    </row>
    <row r="220" spans="1:29" s="12" customFormat="1" x14ac:dyDescent="0.3">
      <c r="A220" s="169"/>
      <c r="B220" s="176"/>
      <c r="C220" s="176"/>
      <c r="D220" s="176"/>
      <c r="E220" s="176"/>
      <c r="F220" s="176"/>
      <c r="G220" s="176"/>
      <c r="H220" s="176"/>
      <c r="I220" s="176"/>
      <c r="J220" s="176"/>
      <c r="K220" s="176"/>
      <c r="L220" s="176"/>
      <c r="M220" s="176"/>
      <c r="N220" s="176"/>
      <c r="O220" s="176"/>
      <c r="P220" s="176"/>
      <c r="Q220" s="176"/>
      <c r="R220" s="176"/>
      <c r="S220" s="176"/>
      <c r="T220" s="176"/>
      <c r="U220" s="176"/>
      <c r="V220" s="176"/>
      <c r="W220" s="176"/>
      <c r="X220" s="176"/>
      <c r="Y220" s="176"/>
      <c r="Z220" s="176"/>
      <c r="AA220" s="176"/>
      <c r="AB220" s="176"/>
      <c r="AC220" s="169"/>
    </row>
    <row r="221" spans="1:29" s="12" customFormat="1" x14ac:dyDescent="0.3">
      <c r="A221" s="169"/>
      <c r="B221" s="169"/>
      <c r="C221" s="169"/>
      <c r="D221" s="169"/>
      <c r="E221" s="169"/>
      <c r="F221" s="169"/>
      <c r="G221" s="169"/>
      <c r="H221" s="169"/>
      <c r="I221" s="169"/>
      <c r="J221" s="169"/>
      <c r="K221" s="169"/>
      <c r="L221" s="169"/>
      <c r="M221" s="169"/>
      <c r="N221" s="169"/>
      <c r="O221" s="169"/>
      <c r="P221" s="169"/>
      <c r="Q221" s="169"/>
      <c r="R221" s="169"/>
      <c r="S221" s="169"/>
      <c r="T221" s="169"/>
      <c r="U221" s="169"/>
      <c r="V221" s="169"/>
      <c r="W221" s="169"/>
      <c r="X221" s="169"/>
      <c r="Y221" s="169"/>
      <c r="Z221" s="169"/>
      <c r="AA221" s="169"/>
      <c r="AB221" s="169"/>
      <c r="AC221" s="169"/>
    </row>
    <row r="222" spans="1:29" s="12" customFormat="1" x14ac:dyDescent="0.3">
      <c r="A222" s="169"/>
      <c r="B222" s="169"/>
      <c r="C222" s="169"/>
      <c r="D222" s="169"/>
      <c r="E222" s="169"/>
      <c r="F222" s="169"/>
      <c r="G222" s="169"/>
      <c r="H222" s="169"/>
      <c r="I222" s="169"/>
      <c r="J222" s="169"/>
      <c r="K222" s="169"/>
      <c r="L222" s="169"/>
      <c r="M222" s="169"/>
      <c r="N222" s="169"/>
      <c r="O222" s="169"/>
      <c r="P222" s="169"/>
      <c r="Q222" s="169"/>
      <c r="R222" s="169"/>
      <c r="S222" s="169"/>
      <c r="T222" s="169"/>
      <c r="U222" s="169"/>
      <c r="V222" s="169"/>
      <c r="W222" s="169"/>
      <c r="X222" s="169"/>
      <c r="Y222" s="169"/>
      <c r="Z222" s="169"/>
      <c r="AA222" s="169"/>
      <c r="AB222" s="169"/>
      <c r="AC222" s="169"/>
    </row>
    <row r="223" spans="1:29" s="12" customFormat="1" x14ac:dyDescent="0.3">
      <c r="A223" s="169"/>
      <c r="B223" s="169"/>
      <c r="C223" s="169"/>
      <c r="D223" s="169"/>
      <c r="E223" s="169"/>
      <c r="F223" s="169"/>
      <c r="G223" s="169"/>
      <c r="H223" s="169"/>
      <c r="I223" s="169"/>
      <c r="J223" s="169"/>
      <c r="K223" s="169"/>
      <c r="L223" s="169"/>
      <c r="M223" s="169"/>
      <c r="N223" s="169"/>
      <c r="O223" s="169"/>
      <c r="P223" s="169"/>
      <c r="Q223" s="169"/>
      <c r="R223" s="169"/>
      <c r="S223" s="169"/>
      <c r="T223" s="169"/>
      <c r="U223" s="169"/>
      <c r="V223" s="169"/>
      <c r="W223" s="169"/>
      <c r="X223" s="169"/>
      <c r="Y223" s="169"/>
      <c r="Z223" s="169"/>
      <c r="AA223" s="169"/>
      <c r="AB223" s="169"/>
      <c r="AC223" s="169"/>
    </row>
    <row r="224" spans="1:29" s="12" customFormat="1" hidden="1" x14ac:dyDescent="0.3">
      <c r="A224" s="169"/>
      <c r="B224" s="169"/>
      <c r="C224" s="169"/>
      <c r="D224" s="169"/>
      <c r="E224" s="169"/>
      <c r="F224" s="169"/>
      <c r="G224" s="169"/>
      <c r="H224" s="169"/>
      <c r="I224" s="169"/>
      <c r="J224" s="169"/>
      <c r="K224" s="169"/>
      <c r="L224" s="169"/>
      <c r="M224" s="169"/>
      <c r="N224" s="169"/>
      <c r="O224" s="169"/>
      <c r="P224" s="169"/>
      <c r="Q224" s="169"/>
      <c r="R224" s="169"/>
      <c r="S224" s="169"/>
      <c r="T224" s="169"/>
      <c r="U224" s="169"/>
      <c r="V224" s="169"/>
      <c r="W224" s="169"/>
      <c r="X224" s="169"/>
      <c r="Y224" s="169"/>
      <c r="Z224" s="169"/>
      <c r="AA224" s="169"/>
      <c r="AB224" s="169"/>
      <c r="AC224" s="169"/>
    </row>
    <row r="225" spans="1:29" s="12" customFormat="1" hidden="1" x14ac:dyDescent="0.3">
      <c r="A225" s="169"/>
      <c r="B225" s="169"/>
      <c r="C225" s="169"/>
      <c r="D225" s="169"/>
      <c r="E225" s="169"/>
      <c r="F225" s="169"/>
      <c r="G225" s="169"/>
      <c r="H225" s="169"/>
      <c r="I225" s="169"/>
      <c r="J225" s="169"/>
      <c r="K225" s="169"/>
      <c r="L225" s="169"/>
      <c r="M225" s="169"/>
      <c r="N225" s="169"/>
      <c r="O225" s="169"/>
      <c r="P225" s="169"/>
      <c r="Q225" s="169"/>
      <c r="R225" s="169"/>
      <c r="S225" s="169"/>
      <c r="T225" s="169"/>
      <c r="U225" s="169"/>
      <c r="V225" s="169"/>
      <c r="W225" s="169"/>
      <c r="X225" s="169"/>
      <c r="Y225" s="169"/>
      <c r="Z225" s="169"/>
      <c r="AA225" s="169"/>
      <c r="AB225" s="169"/>
      <c r="AC225" s="169"/>
    </row>
    <row r="226" spans="1:29" s="12" customFormat="1" hidden="1" x14ac:dyDescent="0.3">
      <c r="A226" s="169"/>
      <c r="B226" s="169"/>
      <c r="C226" s="169"/>
      <c r="D226" s="169"/>
      <c r="E226" s="169"/>
      <c r="F226" s="169"/>
      <c r="G226" s="169"/>
      <c r="H226" s="169"/>
      <c r="I226" s="169"/>
      <c r="J226" s="169"/>
      <c r="K226" s="169"/>
      <c r="L226" s="169"/>
      <c r="M226" s="169"/>
      <c r="N226" s="169"/>
      <c r="O226" s="169"/>
      <c r="P226" s="169"/>
      <c r="Q226" s="169"/>
      <c r="R226" s="169"/>
      <c r="S226" s="169"/>
      <c r="T226" s="169"/>
      <c r="U226" s="169"/>
      <c r="V226" s="169"/>
      <c r="W226" s="169"/>
      <c r="X226" s="169"/>
      <c r="Y226" s="169"/>
      <c r="Z226" s="169"/>
      <c r="AA226" s="169"/>
      <c r="AB226" s="169"/>
      <c r="AC226" s="169"/>
    </row>
    <row r="227" spans="1:29" s="12" customFormat="1" hidden="1" x14ac:dyDescent="0.3">
      <c r="A227" s="169"/>
      <c r="B227" s="169"/>
      <c r="C227" s="169"/>
      <c r="D227" s="169"/>
      <c r="E227" s="169"/>
      <c r="F227" s="169"/>
      <c r="G227" s="169"/>
      <c r="H227" s="169"/>
      <c r="I227" s="169"/>
      <c r="J227" s="169"/>
      <c r="K227" s="169"/>
      <c r="L227" s="169"/>
      <c r="M227" s="169"/>
      <c r="N227" s="169"/>
      <c r="O227" s="169"/>
      <c r="P227" s="169"/>
      <c r="Q227" s="169"/>
      <c r="R227" s="169"/>
      <c r="S227" s="169"/>
      <c r="T227" s="169"/>
      <c r="U227" s="169"/>
      <c r="V227" s="169"/>
      <c r="W227" s="169"/>
      <c r="X227" s="169"/>
      <c r="Y227" s="169"/>
      <c r="Z227" s="169"/>
      <c r="AA227" s="169"/>
      <c r="AB227" s="169"/>
      <c r="AC227" s="169"/>
    </row>
    <row r="228" spans="1:29" s="12" customFormat="1" hidden="1" x14ac:dyDescent="0.3">
      <c r="A228" s="169"/>
      <c r="B228" s="169"/>
      <c r="C228" s="169"/>
      <c r="D228" s="169"/>
      <c r="E228" s="169"/>
      <c r="F228" s="169"/>
      <c r="G228" s="169"/>
      <c r="H228" s="169"/>
      <c r="I228" s="169"/>
      <c r="J228" s="169"/>
      <c r="K228" s="169"/>
      <c r="L228" s="169"/>
      <c r="M228" s="169"/>
      <c r="N228" s="169"/>
      <c r="O228" s="169"/>
      <c r="P228" s="169"/>
      <c r="Q228" s="169"/>
      <c r="R228" s="169"/>
      <c r="S228" s="169"/>
      <c r="T228" s="169"/>
      <c r="U228" s="169"/>
      <c r="V228" s="169"/>
      <c r="W228" s="169"/>
      <c r="X228" s="169"/>
      <c r="Y228" s="169"/>
      <c r="Z228" s="169"/>
      <c r="AA228" s="169"/>
      <c r="AB228" s="169"/>
      <c r="AC228" s="169"/>
    </row>
    <row r="229" spans="1:29" s="12" customFormat="1" hidden="1" x14ac:dyDescent="0.3">
      <c r="A229" s="169"/>
      <c r="B229" s="169"/>
      <c r="C229" s="169"/>
      <c r="D229" s="169"/>
      <c r="E229" s="169"/>
      <c r="F229" s="169"/>
      <c r="G229" s="169"/>
      <c r="H229" s="169"/>
      <c r="I229" s="169"/>
      <c r="J229" s="169"/>
      <c r="K229" s="169"/>
      <c r="L229" s="169"/>
      <c r="M229" s="169"/>
      <c r="N229" s="169"/>
      <c r="O229" s="169"/>
      <c r="P229" s="169"/>
      <c r="Q229" s="169"/>
      <c r="R229" s="169"/>
      <c r="S229" s="169"/>
      <c r="T229" s="169"/>
      <c r="U229" s="169"/>
      <c r="V229" s="169"/>
      <c r="W229" s="169"/>
      <c r="X229" s="169"/>
      <c r="Y229" s="169"/>
      <c r="Z229" s="169"/>
      <c r="AA229" s="169"/>
      <c r="AB229" s="169"/>
      <c r="AC229" s="169"/>
    </row>
    <row r="230" spans="1:29" s="12" customFormat="1" hidden="1" x14ac:dyDescent="0.3">
      <c r="A230" s="169"/>
      <c r="B230" s="169"/>
      <c r="C230" s="169"/>
      <c r="D230" s="169"/>
      <c r="E230" s="169"/>
      <c r="F230" s="169"/>
      <c r="G230" s="169"/>
      <c r="H230" s="169"/>
      <c r="I230" s="169"/>
      <c r="J230" s="169"/>
      <c r="K230" s="169"/>
      <c r="L230" s="169"/>
      <c r="M230" s="169"/>
      <c r="N230" s="169"/>
      <c r="O230" s="169"/>
      <c r="P230" s="169"/>
      <c r="Q230" s="169"/>
      <c r="R230" s="169"/>
      <c r="S230" s="169"/>
      <c r="T230" s="169"/>
      <c r="U230" s="169"/>
      <c r="V230" s="169"/>
      <c r="W230" s="169"/>
      <c r="X230" s="169"/>
      <c r="Y230" s="169"/>
      <c r="Z230" s="169"/>
      <c r="AA230" s="169"/>
      <c r="AB230" s="169"/>
      <c r="AC230" s="169"/>
    </row>
    <row r="231" spans="1:29" s="12" customFormat="1" hidden="1" x14ac:dyDescent="0.3">
      <c r="A231" s="169"/>
      <c r="B231" s="169"/>
      <c r="C231" s="169"/>
      <c r="D231" s="169"/>
      <c r="E231" s="169"/>
      <c r="F231" s="169"/>
      <c r="G231" s="169"/>
      <c r="H231" s="169"/>
      <c r="I231" s="169"/>
      <c r="J231" s="169"/>
      <c r="K231" s="169"/>
      <c r="L231" s="169"/>
      <c r="M231" s="169"/>
      <c r="N231" s="169"/>
      <c r="O231" s="169"/>
      <c r="P231" s="169"/>
      <c r="Q231" s="169"/>
      <c r="R231" s="169"/>
      <c r="S231" s="169"/>
      <c r="T231" s="169"/>
      <c r="U231" s="169"/>
      <c r="V231" s="169"/>
      <c r="W231" s="169"/>
      <c r="X231" s="169"/>
      <c r="Y231" s="169"/>
      <c r="Z231" s="169"/>
      <c r="AA231" s="169"/>
      <c r="AB231" s="169"/>
      <c r="AC231" s="169"/>
    </row>
    <row r="232" spans="1:29" s="12" customFormat="1" hidden="1" x14ac:dyDescent="0.3">
      <c r="A232" s="169"/>
      <c r="B232" s="169"/>
      <c r="C232" s="169"/>
      <c r="D232" s="169"/>
      <c r="E232" s="169"/>
      <c r="F232" s="169"/>
      <c r="G232" s="169"/>
      <c r="H232" s="169"/>
      <c r="I232" s="169"/>
      <c r="J232" s="169"/>
      <c r="K232" s="169"/>
      <c r="L232" s="169"/>
      <c r="M232" s="169"/>
      <c r="N232" s="169"/>
      <c r="O232" s="169"/>
      <c r="P232" s="169"/>
      <c r="Q232" s="169"/>
      <c r="R232" s="169"/>
      <c r="S232" s="169"/>
      <c r="T232" s="169"/>
      <c r="U232" s="169"/>
      <c r="V232" s="169"/>
      <c r="W232" s="169"/>
      <c r="X232" s="169"/>
      <c r="Y232" s="169"/>
      <c r="Z232" s="169"/>
      <c r="AA232" s="169"/>
      <c r="AB232" s="169"/>
      <c r="AC232" s="169"/>
    </row>
    <row r="233" spans="1:29" s="12" customFormat="1" hidden="1" x14ac:dyDescent="0.3">
      <c r="A233" s="169"/>
      <c r="B233" s="169"/>
      <c r="C233" s="169"/>
      <c r="D233" s="169"/>
      <c r="E233" s="169"/>
      <c r="F233" s="169"/>
      <c r="G233" s="169"/>
      <c r="H233" s="169"/>
      <c r="I233" s="169"/>
      <c r="J233" s="169"/>
      <c r="K233" s="169"/>
      <c r="L233" s="169"/>
      <c r="M233" s="169"/>
      <c r="N233" s="169"/>
      <c r="O233" s="169"/>
      <c r="P233" s="169"/>
      <c r="Q233" s="169"/>
      <c r="R233" s="169"/>
      <c r="S233" s="169"/>
      <c r="T233" s="169"/>
      <c r="U233" s="169"/>
      <c r="V233" s="169"/>
      <c r="W233" s="169"/>
      <c r="X233" s="169"/>
      <c r="Y233" s="169"/>
      <c r="Z233" s="169"/>
      <c r="AA233" s="169"/>
      <c r="AB233" s="169"/>
      <c r="AC233" s="169"/>
    </row>
    <row r="234" spans="1:29" s="12" customFormat="1" hidden="1" x14ac:dyDescent="0.3">
      <c r="A234" s="169"/>
      <c r="B234" s="169"/>
      <c r="C234" s="169"/>
      <c r="D234" s="169"/>
      <c r="E234" s="169"/>
      <c r="F234" s="169"/>
      <c r="G234" s="169"/>
      <c r="H234" s="169"/>
      <c r="I234" s="169"/>
      <c r="J234" s="169"/>
      <c r="K234" s="169"/>
      <c r="L234" s="169"/>
      <c r="M234" s="169"/>
      <c r="N234" s="169"/>
      <c r="O234" s="169"/>
      <c r="P234" s="169"/>
      <c r="Q234" s="169"/>
      <c r="R234" s="169"/>
      <c r="S234" s="169"/>
      <c r="T234" s="169"/>
      <c r="U234" s="169"/>
      <c r="V234" s="169"/>
      <c r="W234" s="169"/>
      <c r="X234" s="169"/>
      <c r="Y234" s="169"/>
      <c r="Z234" s="169"/>
      <c r="AA234" s="169"/>
      <c r="AB234" s="169"/>
      <c r="AC234" s="169"/>
    </row>
    <row r="235" spans="1:29" s="12" customFormat="1" hidden="1" x14ac:dyDescent="0.3">
      <c r="A235" s="169"/>
      <c r="B235" s="169"/>
      <c r="C235" s="169"/>
      <c r="D235" s="169"/>
      <c r="E235" s="169"/>
      <c r="F235" s="169"/>
      <c r="G235" s="169"/>
      <c r="H235" s="169"/>
      <c r="I235" s="169"/>
      <c r="J235" s="169"/>
      <c r="K235" s="169"/>
      <c r="L235" s="169"/>
      <c r="M235" s="169"/>
      <c r="N235" s="169"/>
      <c r="O235" s="169"/>
      <c r="P235" s="169"/>
      <c r="Q235" s="169"/>
      <c r="R235" s="169"/>
      <c r="S235" s="169"/>
      <c r="T235" s="169"/>
      <c r="U235" s="169"/>
      <c r="V235" s="169"/>
      <c r="W235" s="169"/>
      <c r="X235" s="169"/>
      <c r="Y235" s="169"/>
      <c r="Z235" s="169"/>
      <c r="AA235" s="169"/>
      <c r="AB235" s="169"/>
      <c r="AC235" s="169"/>
    </row>
    <row r="236" spans="1:29" s="12" customFormat="1" hidden="1" x14ac:dyDescent="0.3">
      <c r="A236" s="169"/>
      <c r="B236" s="169"/>
      <c r="C236" s="169"/>
      <c r="D236" s="169"/>
      <c r="E236" s="169"/>
      <c r="F236" s="169"/>
      <c r="G236" s="169"/>
      <c r="H236" s="169"/>
      <c r="I236" s="169"/>
      <c r="J236" s="169"/>
      <c r="K236" s="169"/>
      <c r="L236" s="169"/>
      <c r="M236" s="169"/>
      <c r="N236" s="169"/>
      <c r="O236" s="169"/>
      <c r="P236" s="169"/>
      <c r="Q236" s="169"/>
      <c r="R236" s="169"/>
      <c r="S236" s="169"/>
      <c r="T236" s="169"/>
      <c r="U236" s="169"/>
      <c r="V236" s="169"/>
      <c r="W236" s="169"/>
      <c r="X236" s="169"/>
      <c r="Y236" s="169"/>
      <c r="Z236" s="169"/>
      <c r="AA236" s="169"/>
      <c r="AB236" s="169"/>
      <c r="AC236" s="169"/>
    </row>
    <row r="237" spans="1:29" s="12" customFormat="1" hidden="1" x14ac:dyDescent="0.3">
      <c r="A237" s="169"/>
      <c r="B237" s="169"/>
      <c r="C237" s="169"/>
      <c r="D237" s="169"/>
      <c r="E237" s="169"/>
      <c r="F237" s="169"/>
      <c r="G237" s="169"/>
      <c r="H237" s="169"/>
      <c r="I237" s="169"/>
      <c r="J237" s="169"/>
      <c r="K237" s="169"/>
      <c r="L237" s="169"/>
      <c r="M237" s="169"/>
      <c r="N237" s="169"/>
      <c r="O237" s="169"/>
      <c r="P237" s="169"/>
      <c r="Q237" s="169"/>
      <c r="R237" s="169"/>
      <c r="S237" s="169"/>
      <c r="T237" s="169"/>
      <c r="U237" s="169"/>
      <c r="V237" s="169"/>
      <c r="W237" s="169"/>
      <c r="X237" s="169"/>
      <c r="Y237" s="169"/>
      <c r="Z237" s="169"/>
      <c r="AA237" s="169"/>
      <c r="AB237" s="169"/>
      <c r="AC237" s="169"/>
    </row>
    <row r="238" spans="1:29" s="12" customFormat="1" hidden="1" x14ac:dyDescent="0.3">
      <c r="A238" s="169"/>
      <c r="B238" s="169"/>
      <c r="C238" s="169"/>
      <c r="D238" s="169"/>
      <c r="E238" s="169"/>
      <c r="F238" s="169"/>
      <c r="G238" s="169"/>
      <c r="H238" s="169"/>
      <c r="I238" s="169"/>
      <c r="J238" s="169"/>
      <c r="K238" s="169"/>
      <c r="L238" s="169"/>
      <c r="M238" s="169"/>
      <c r="N238" s="169"/>
      <c r="O238" s="169"/>
      <c r="P238" s="169"/>
      <c r="Q238" s="169"/>
      <c r="R238" s="169"/>
      <c r="S238" s="169"/>
      <c r="T238" s="169"/>
      <c r="U238" s="169"/>
      <c r="V238" s="169"/>
      <c r="W238" s="169"/>
      <c r="X238" s="169"/>
      <c r="Y238" s="169"/>
      <c r="Z238" s="169"/>
      <c r="AA238" s="169"/>
      <c r="AB238" s="169"/>
      <c r="AC238" s="169"/>
    </row>
    <row r="239" spans="1:29" s="12" customFormat="1" hidden="1" x14ac:dyDescent="0.3">
      <c r="A239" s="169"/>
      <c r="B239" s="169"/>
      <c r="C239" s="169"/>
      <c r="D239" s="169"/>
      <c r="E239" s="169"/>
      <c r="F239" s="169"/>
      <c r="G239" s="169"/>
      <c r="H239" s="169"/>
      <c r="I239" s="169"/>
      <c r="J239" s="169"/>
      <c r="K239" s="169"/>
      <c r="L239" s="169"/>
      <c r="M239" s="169"/>
      <c r="N239" s="169"/>
      <c r="O239" s="169"/>
      <c r="P239" s="169"/>
      <c r="Q239" s="169"/>
      <c r="R239" s="169"/>
      <c r="S239" s="169"/>
      <c r="T239" s="169"/>
      <c r="U239" s="169"/>
      <c r="V239" s="169"/>
      <c r="W239" s="169"/>
      <c r="X239" s="169"/>
      <c r="Y239" s="169"/>
      <c r="Z239" s="169"/>
      <c r="AA239" s="169"/>
      <c r="AB239" s="169"/>
      <c r="AC239" s="169"/>
    </row>
    <row r="240" spans="1:29" s="12" customFormat="1" hidden="1" x14ac:dyDescent="0.3">
      <c r="A240" s="169"/>
      <c r="B240" s="169"/>
      <c r="C240" s="169"/>
      <c r="D240" s="169"/>
      <c r="E240" s="169"/>
      <c r="F240" s="169"/>
      <c r="G240" s="169"/>
      <c r="H240" s="169"/>
      <c r="I240" s="169"/>
      <c r="J240" s="169"/>
      <c r="K240" s="169"/>
      <c r="L240" s="169"/>
      <c r="M240" s="169"/>
      <c r="N240" s="169"/>
      <c r="O240" s="169"/>
      <c r="P240" s="169"/>
      <c r="Q240" s="169"/>
      <c r="R240" s="169"/>
      <c r="S240" s="169"/>
      <c r="T240" s="169"/>
      <c r="U240" s="169"/>
      <c r="V240" s="169"/>
      <c r="W240" s="169"/>
      <c r="X240" s="169"/>
      <c r="Y240" s="169"/>
      <c r="Z240" s="169"/>
      <c r="AA240" s="169"/>
      <c r="AB240" s="169"/>
      <c r="AC240" s="169"/>
    </row>
    <row r="241" spans="1:29" s="12" customFormat="1" hidden="1" x14ac:dyDescent="0.3">
      <c r="A241" s="169"/>
      <c r="B241" s="169"/>
      <c r="C241" s="169"/>
      <c r="D241" s="169"/>
      <c r="E241" s="169"/>
      <c r="F241" s="169"/>
      <c r="G241" s="169"/>
      <c r="H241" s="169"/>
      <c r="I241" s="169"/>
      <c r="J241" s="169"/>
      <c r="K241" s="169"/>
      <c r="L241" s="169"/>
      <c r="M241" s="169"/>
      <c r="N241" s="169"/>
      <c r="O241" s="169"/>
      <c r="P241" s="169"/>
      <c r="Q241" s="169"/>
      <c r="R241" s="169"/>
      <c r="S241" s="169"/>
      <c r="T241" s="169"/>
      <c r="U241" s="169"/>
      <c r="V241" s="169"/>
      <c r="W241" s="169"/>
      <c r="X241" s="169"/>
      <c r="Y241" s="169"/>
      <c r="Z241" s="169"/>
      <c r="AA241" s="169"/>
      <c r="AB241" s="169"/>
      <c r="AC241" s="169"/>
    </row>
    <row r="242" spans="1:29" s="12" customFormat="1" hidden="1" x14ac:dyDescent="0.3">
      <c r="A242" s="169"/>
      <c r="B242" s="169"/>
      <c r="C242" s="169"/>
      <c r="D242" s="169"/>
      <c r="E242" s="169"/>
      <c r="F242" s="169"/>
      <c r="G242" s="169"/>
      <c r="H242" s="169"/>
      <c r="I242" s="169"/>
      <c r="J242" s="169"/>
      <c r="K242" s="169"/>
      <c r="L242" s="169"/>
      <c r="M242" s="169"/>
      <c r="N242" s="169"/>
      <c r="O242" s="169"/>
      <c r="P242" s="169"/>
      <c r="Q242" s="169"/>
      <c r="R242" s="169"/>
      <c r="S242" s="169"/>
      <c r="T242" s="169"/>
      <c r="U242" s="169"/>
      <c r="V242" s="169"/>
      <c r="W242" s="169"/>
      <c r="X242" s="169"/>
      <c r="Y242" s="169"/>
      <c r="Z242" s="169"/>
      <c r="AA242" s="169"/>
      <c r="AB242" s="169"/>
      <c r="AC242" s="169"/>
    </row>
    <row r="243" spans="1:29" s="12" customFormat="1" hidden="1" x14ac:dyDescent="0.3">
      <c r="A243" s="169"/>
      <c r="B243" s="169"/>
      <c r="C243" s="169"/>
      <c r="D243" s="169"/>
      <c r="E243" s="169"/>
      <c r="F243" s="169"/>
      <c r="G243" s="169"/>
      <c r="H243" s="169"/>
      <c r="I243" s="169"/>
      <c r="J243" s="169"/>
      <c r="K243" s="169"/>
      <c r="L243" s="169"/>
      <c r="M243" s="169"/>
      <c r="N243" s="169"/>
      <c r="O243" s="169"/>
      <c r="P243" s="169"/>
      <c r="Q243" s="169"/>
      <c r="R243" s="169"/>
      <c r="S243" s="169"/>
      <c r="T243" s="169"/>
      <c r="U243" s="169"/>
      <c r="V243" s="169"/>
      <c r="W243" s="169"/>
      <c r="X243" s="169"/>
      <c r="Y243" s="169"/>
      <c r="Z243" s="169"/>
      <c r="AA243" s="169"/>
      <c r="AB243" s="169"/>
      <c r="AC243" s="169"/>
    </row>
    <row r="244" spans="1:29" s="12" customFormat="1" hidden="1" x14ac:dyDescent="0.3">
      <c r="A244" s="169"/>
      <c r="B244" s="169"/>
      <c r="C244" s="169"/>
      <c r="D244" s="169"/>
      <c r="E244" s="169"/>
      <c r="F244" s="169"/>
      <c r="G244" s="169"/>
      <c r="H244" s="169"/>
      <c r="I244" s="169"/>
      <c r="J244" s="169"/>
      <c r="K244" s="169"/>
      <c r="L244" s="169"/>
      <c r="M244" s="169"/>
      <c r="N244" s="169"/>
      <c r="O244" s="169"/>
      <c r="P244" s="169"/>
      <c r="Q244" s="169"/>
      <c r="R244" s="169"/>
      <c r="S244" s="169"/>
      <c r="T244" s="169"/>
      <c r="U244" s="169"/>
      <c r="V244" s="169"/>
      <c r="W244" s="169"/>
      <c r="X244" s="169"/>
      <c r="Y244" s="169"/>
      <c r="Z244" s="169"/>
      <c r="AA244" s="169"/>
      <c r="AB244" s="169"/>
      <c r="AC244" s="169"/>
    </row>
    <row r="245" spans="1:29" s="12" customFormat="1" hidden="1" x14ac:dyDescent="0.3">
      <c r="A245" s="169"/>
      <c r="B245" s="169"/>
      <c r="C245" s="169"/>
      <c r="D245" s="169"/>
      <c r="E245" s="169"/>
      <c r="F245" s="169"/>
      <c r="G245" s="169"/>
      <c r="H245" s="169"/>
      <c r="I245" s="169"/>
      <c r="J245" s="169"/>
      <c r="K245" s="169"/>
      <c r="L245" s="169"/>
      <c r="M245" s="169"/>
      <c r="N245" s="169"/>
      <c r="O245" s="169"/>
      <c r="P245" s="169"/>
      <c r="Q245" s="169"/>
      <c r="R245" s="169"/>
      <c r="S245" s="169"/>
      <c r="T245" s="169"/>
      <c r="U245" s="169"/>
      <c r="V245" s="169"/>
      <c r="W245" s="169"/>
      <c r="X245" s="169"/>
      <c r="Y245" s="169"/>
      <c r="Z245" s="169"/>
      <c r="AA245" s="169"/>
      <c r="AB245" s="169"/>
      <c r="AC245" s="169"/>
    </row>
    <row r="246" spans="1:29" s="12" customFormat="1" hidden="1" x14ac:dyDescent="0.3">
      <c r="A246" s="169"/>
      <c r="B246" s="169"/>
      <c r="C246" s="169"/>
      <c r="D246" s="169"/>
      <c r="E246" s="169"/>
      <c r="F246" s="169"/>
      <c r="G246" s="169"/>
      <c r="H246" s="169"/>
      <c r="I246" s="169"/>
      <c r="J246" s="169"/>
      <c r="K246" s="169"/>
      <c r="L246" s="169"/>
      <c r="M246" s="169"/>
      <c r="N246" s="169"/>
      <c r="O246" s="169"/>
      <c r="P246" s="169"/>
      <c r="Q246" s="169"/>
      <c r="R246" s="169"/>
      <c r="S246" s="169"/>
      <c r="T246" s="169"/>
      <c r="U246" s="169"/>
      <c r="V246" s="169"/>
      <c r="W246" s="169"/>
      <c r="X246" s="169"/>
      <c r="Y246" s="169"/>
      <c r="Z246" s="169"/>
      <c r="AA246" s="169"/>
      <c r="AB246" s="169"/>
      <c r="AC246" s="169"/>
    </row>
    <row r="247" spans="1:29" s="12" customFormat="1" hidden="1" x14ac:dyDescent="0.3">
      <c r="A247" s="169"/>
      <c r="B247" s="169"/>
      <c r="C247" s="169"/>
      <c r="D247" s="169"/>
      <c r="E247" s="169"/>
      <c r="F247" s="169"/>
      <c r="G247" s="169"/>
      <c r="H247" s="169"/>
      <c r="I247" s="169"/>
      <c r="J247" s="169"/>
      <c r="K247" s="169"/>
      <c r="L247" s="169"/>
      <c r="M247" s="169"/>
      <c r="N247" s="169"/>
      <c r="O247" s="169"/>
      <c r="P247" s="169"/>
      <c r="Q247" s="169"/>
      <c r="R247" s="169"/>
      <c r="S247" s="169"/>
      <c r="T247" s="169"/>
      <c r="U247" s="169"/>
      <c r="V247" s="169"/>
      <c r="W247" s="169"/>
      <c r="X247" s="169"/>
      <c r="Y247" s="169"/>
      <c r="Z247" s="169"/>
      <c r="AA247" s="169"/>
      <c r="AB247" s="169"/>
      <c r="AC247" s="169"/>
    </row>
    <row r="248" spans="1:29" s="12" customFormat="1" hidden="1" x14ac:dyDescent="0.3">
      <c r="A248" s="169"/>
      <c r="B248" s="169"/>
      <c r="C248" s="169"/>
      <c r="D248" s="169"/>
      <c r="E248" s="169"/>
      <c r="F248" s="169"/>
      <c r="G248" s="169"/>
      <c r="H248" s="169"/>
      <c r="I248" s="169"/>
      <c r="J248" s="169"/>
      <c r="K248" s="169"/>
      <c r="L248" s="169"/>
      <c r="M248" s="169"/>
      <c r="N248" s="169"/>
      <c r="O248" s="169"/>
      <c r="P248" s="169"/>
      <c r="Q248" s="169"/>
      <c r="R248" s="169"/>
      <c r="S248" s="169"/>
      <c r="T248" s="169"/>
      <c r="U248" s="169"/>
      <c r="V248" s="169"/>
      <c r="W248" s="169"/>
      <c r="X248" s="169"/>
      <c r="Y248" s="169"/>
      <c r="Z248" s="169"/>
      <c r="AA248" s="169"/>
      <c r="AB248" s="169"/>
      <c r="AC248" s="169"/>
    </row>
    <row r="249" spans="1:29" s="12" customFormat="1" hidden="1" x14ac:dyDescent="0.3">
      <c r="A249" s="169"/>
      <c r="B249" s="169"/>
      <c r="C249" s="169"/>
      <c r="D249" s="169"/>
      <c r="E249" s="169"/>
      <c r="F249" s="169"/>
      <c r="G249" s="169"/>
      <c r="H249" s="169"/>
      <c r="I249" s="169"/>
      <c r="J249" s="169"/>
      <c r="K249" s="169"/>
      <c r="L249" s="169"/>
      <c r="M249" s="169"/>
      <c r="N249" s="169"/>
      <c r="O249" s="169"/>
      <c r="P249" s="169"/>
      <c r="Q249" s="169"/>
      <c r="R249" s="169"/>
      <c r="S249" s="169"/>
      <c r="T249" s="169"/>
      <c r="U249" s="169"/>
      <c r="V249" s="169"/>
      <c r="W249" s="169"/>
      <c r="X249" s="169"/>
      <c r="Y249" s="169"/>
      <c r="Z249" s="169"/>
      <c r="AA249" s="169"/>
      <c r="AB249" s="169"/>
      <c r="AC249" s="169"/>
    </row>
    <row r="250" spans="1:29" s="12" customFormat="1" hidden="1" x14ac:dyDescent="0.3">
      <c r="A250" s="169"/>
      <c r="B250" s="169"/>
      <c r="C250" s="169"/>
      <c r="D250" s="169"/>
      <c r="E250" s="169"/>
      <c r="F250" s="169"/>
      <c r="G250" s="169"/>
      <c r="H250" s="169"/>
      <c r="I250" s="169"/>
      <c r="J250" s="169"/>
      <c r="K250" s="169"/>
      <c r="L250" s="169"/>
      <c r="M250" s="169"/>
      <c r="N250" s="169"/>
      <c r="O250" s="169"/>
      <c r="P250" s="169"/>
      <c r="Q250" s="169"/>
      <c r="R250" s="169"/>
      <c r="S250" s="169"/>
      <c r="T250" s="169"/>
      <c r="U250" s="169"/>
      <c r="V250" s="169"/>
      <c r="W250" s="169"/>
      <c r="X250" s="169"/>
      <c r="Y250" s="169"/>
      <c r="Z250" s="169"/>
      <c r="AA250" s="169"/>
      <c r="AB250" s="169"/>
      <c r="AC250" s="169"/>
    </row>
    <row r="251" spans="1:29" s="12" customFormat="1" hidden="1" x14ac:dyDescent="0.3">
      <c r="A251" s="169"/>
      <c r="B251" s="169"/>
      <c r="C251" s="169"/>
      <c r="D251" s="169"/>
      <c r="E251" s="169"/>
      <c r="F251" s="169"/>
      <c r="G251" s="169"/>
      <c r="H251" s="169"/>
      <c r="I251" s="169"/>
      <c r="J251" s="169"/>
      <c r="K251" s="169"/>
      <c r="L251" s="169"/>
      <c r="M251" s="169"/>
      <c r="N251" s="169"/>
      <c r="O251" s="169"/>
      <c r="P251" s="169"/>
      <c r="Q251" s="169"/>
      <c r="R251" s="169"/>
      <c r="S251" s="169"/>
      <c r="T251" s="169"/>
      <c r="U251" s="169"/>
      <c r="V251" s="169"/>
      <c r="W251" s="169"/>
      <c r="X251" s="169"/>
      <c r="Y251" s="169"/>
      <c r="Z251" s="169"/>
      <c r="AA251" s="169"/>
      <c r="AB251" s="169"/>
      <c r="AC251" s="169"/>
    </row>
    <row r="252" spans="1:29" s="12" customFormat="1" hidden="1" x14ac:dyDescent="0.3">
      <c r="A252" s="169"/>
      <c r="B252" s="169"/>
      <c r="C252" s="169"/>
      <c r="D252" s="169"/>
      <c r="E252" s="169"/>
      <c r="F252" s="169"/>
      <c r="G252" s="169"/>
      <c r="H252" s="169"/>
      <c r="I252" s="169"/>
      <c r="J252" s="169"/>
      <c r="K252" s="169"/>
      <c r="L252" s="169"/>
      <c r="M252" s="169"/>
      <c r="N252" s="169"/>
      <c r="O252" s="169"/>
      <c r="P252" s="169"/>
      <c r="Q252" s="169"/>
      <c r="R252" s="169"/>
      <c r="S252" s="169"/>
      <c r="T252" s="169"/>
      <c r="U252" s="169"/>
      <c r="V252" s="169"/>
      <c r="W252" s="169"/>
      <c r="X252" s="169"/>
      <c r="Y252" s="169"/>
      <c r="Z252" s="169"/>
      <c r="AA252" s="169"/>
      <c r="AB252" s="169"/>
      <c r="AC252" s="169"/>
    </row>
    <row r="253" spans="1:29" s="12" customFormat="1" hidden="1" x14ac:dyDescent="0.3">
      <c r="A253" s="169"/>
      <c r="B253" s="169"/>
      <c r="C253" s="169"/>
      <c r="D253" s="169"/>
      <c r="E253" s="169"/>
      <c r="F253" s="169"/>
      <c r="G253" s="169"/>
      <c r="H253" s="169"/>
      <c r="I253" s="169"/>
      <c r="J253" s="169"/>
      <c r="K253" s="169"/>
      <c r="L253" s="169"/>
      <c r="M253" s="169"/>
      <c r="N253" s="169"/>
      <c r="O253" s="169"/>
      <c r="P253" s="169"/>
      <c r="Q253" s="169"/>
      <c r="R253" s="169"/>
      <c r="S253" s="169"/>
      <c r="T253" s="169"/>
      <c r="U253" s="169"/>
      <c r="V253" s="169"/>
      <c r="W253" s="169"/>
      <c r="X253" s="169"/>
      <c r="Y253" s="169"/>
      <c r="Z253" s="169"/>
      <c r="AA253" s="169"/>
      <c r="AB253" s="169"/>
      <c r="AC253" s="169"/>
    </row>
    <row r="254" spans="1:29" s="12" customFormat="1" hidden="1" x14ac:dyDescent="0.3">
      <c r="A254" s="169"/>
      <c r="B254" s="169"/>
      <c r="C254" s="169"/>
      <c r="D254" s="169"/>
      <c r="E254" s="169"/>
      <c r="F254" s="169"/>
      <c r="G254" s="169"/>
      <c r="H254" s="169"/>
      <c r="I254" s="169"/>
      <c r="J254" s="169"/>
      <c r="K254" s="169"/>
      <c r="L254" s="169"/>
      <c r="M254" s="169"/>
      <c r="N254" s="169"/>
      <c r="O254" s="169"/>
      <c r="P254" s="169"/>
      <c r="Q254" s="169"/>
      <c r="R254" s="169"/>
      <c r="S254" s="169"/>
      <c r="T254" s="169"/>
      <c r="U254" s="169"/>
      <c r="V254" s="169"/>
      <c r="W254" s="169"/>
      <c r="X254" s="169"/>
      <c r="Y254" s="169"/>
      <c r="Z254" s="169"/>
      <c r="AA254" s="169"/>
      <c r="AB254" s="169"/>
      <c r="AC254" s="169"/>
    </row>
    <row r="255" spans="1:29" s="12" customFormat="1" hidden="1" x14ac:dyDescent="0.3">
      <c r="A255" s="169"/>
      <c r="B255" s="169"/>
      <c r="C255" s="169"/>
      <c r="D255" s="169"/>
      <c r="E255" s="169"/>
      <c r="F255" s="169"/>
      <c r="G255" s="169"/>
      <c r="H255" s="169"/>
      <c r="I255" s="169"/>
      <c r="J255" s="169"/>
      <c r="K255" s="169"/>
      <c r="L255" s="169"/>
      <c r="M255" s="169"/>
      <c r="N255" s="169"/>
      <c r="O255" s="169"/>
      <c r="P255" s="169"/>
      <c r="Q255" s="169"/>
      <c r="R255" s="169"/>
      <c r="S255" s="169"/>
      <c r="T255" s="169"/>
      <c r="U255" s="169"/>
      <c r="V255" s="169"/>
      <c r="W255" s="169"/>
      <c r="X255" s="169"/>
      <c r="Y255" s="169"/>
      <c r="Z255" s="169"/>
      <c r="AA255" s="169"/>
      <c r="AB255" s="169"/>
      <c r="AC255" s="169"/>
    </row>
    <row r="256" spans="1:29" s="12" customFormat="1" hidden="1" x14ac:dyDescent="0.3">
      <c r="A256" s="169"/>
      <c r="B256" s="169"/>
      <c r="C256" s="169"/>
      <c r="D256" s="169"/>
      <c r="E256" s="169"/>
      <c r="F256" s="169"/>
      <c r="G256" s="169"/>
      <c r="H256" s="169"/>
      <c r="I256" s="169"/>
      <c r="J256" s="169"/>
      <c r="K256" s="169"/>
      <c r="L256" s="169"/>
      <c r="M256" s="169"/>
      <c r="N256" s="169"/>
      <c r="O256" s="169"/>
      <c r="P256" s="169"/>
      <c r="Q256" s="169"/>
      <c r="R256" s="169"/>
      <c r="S256" s="169"/>
      <c r="T256" s="169"/>
      <c r="U256" s="169"/>
      <c r="V256" s="169"/>
      <c r="W256" s="169"/>
      <c r="X256" s="169"/>
      <c r="Y256" s="169"/>
      <c r="Z256" s="169"/>
      <c r="AA256" s="169"/>
      <c r="AB256" s="169"/>
      <c r="AC256" s="169"/>
    </row>
    <row r="257" spans="1:29" s="12" customFormat="1" hidden="1" x14ac:dyDescent="0.3">
      <c r="A257" s="169"/>
      <c r="B257" s="169"/>
      <c r="C257" s="169"/>
      <c r="D257" s="169"/>
      <c r="E257" s="169"/>
      <c r="F257" s="169"/>
      <c r="G257" s="169"/>
      <c r="H257" s="169"/>
      <c r="I257" s="169"/>
      <c r="J257" s="169"/>
      <c r="K257" s="169"/>
      <c r="L257" s="169"/>
      <c r="M257" s="169"/>
      <c r="N257" s="169"/>
      <c r="O257" s="169"/>
      <c r="P257" s="169"/>
      <c r="Q257" s="169"/>
      <c r="R257" s="169"/>
      <c r="S257" s="169"/>
      <c r="T257" s="169"/>
      <c r="U257" s="169"/>
      <c r="V257" s="169"/>
      <c r="W257" s="169"/>
      <c r="X257" s="169"/>
      <c r="Y257" s="169"/>
      <c r="Z257" s="169"/>
      <c r="AA257" s="169"/>
      <c r="AB257" s="169"/>
      <c r="AC257" s="169"/>
    </row>
    <row r="258" spans="1:29" s="12" customFormat="1" hidden="1" x14ac:dyDescent="0.3">
      <c r="A258" s="169"/>
      <c r="B258" s="169"/>
      <c r="C258" s="169"/>
      <c r="D258" s="169"/>
      <c r="E258" s="169"/>
      <c r="F258" s="169"/>
      <c r="G258" s="169"/>
      <c r="H258" s="169"/>
      <c r="I258" s="169"/>
      <c r="J258" s="169"/>
      <c r="K258" s="169"/>
      <c r="L258" s="169"/>
      <c r="M258" s="169"/>
      <c r="N258" s="169"/>
      <c r="O258" s="169"/>
      <c r="P258" s="169"/>
      <c r="Q258" s="169"/>
      <c r="R258" s="169"/>
      <c r="S258" s="169"/>
      <c r="T258" s="169"/>
      <c r="U258" s="169"/>
      <c r="V258" s="169"/>
      <c r="W258" s="169"/>
      <c r="X258" s="169"/>
      <c r="Y258" s="169"/>
      <c r="Z258" s="169"/>
      <c r="AA258" s="169"/>
      <c r="AB258" s="169"/>
      <c r="AC258" s="169"/>
    </row>
    <row r="259" spans="1:29" s="12" customFormat="1" hidden="1" x14ac:dyDescent="0.3">
      <c r="A259" s="169"/>
      <c r="B259" s="169"/>
      <c r="C259" s="169"/>
      <c r="D259" s="169"/>
      <c r="E259" s="169"/>
      <c r="F259" s="169"/>
      <c r="G259" s="169"/>
      <c r="H259" s="169"/>
      <c r="I259" s="169"/>
      <c r="J259" s="169"/>
      <c r="K259" s="169"/>
      <c r="L259" s="169"/>
      <c r="M259" s="169"/>
      <c r="N259" s="169"/>
      <c r="O259" s="169"/>
      <c r="P259" s="169"/>
      <c r="Q259" s="169"/>
      <c r="R259" s="169"/>
      <c r="S259" s="169"/>
      <c r="T259" s="169"/>
      <c r="U259" s="169"/>
      <c r="V259" s="169"/>
      <c r="W259" s="169"/>
      <c r="X259" s="169"/>
      <c r="Y259" s="169"/>
      <c r="Z259" s="169"/>
      <c r="AA259" s="169"/>
      <c r="AB259" s="169"/>
      <c r="AC259" s="169"/>
    </row>
    <row r="260" spans="1:29" s="12" customFormat="1" hidden="1" x14ac:dyDescent="0.3">
      <c r="A260" s="169"/>
      <c r="B260" s="169"/>
      <c r="C260" s="169"/>
      <c r="D260" s="169"/>
      <c r="E260" s="169"/>
      <c r="F260" s="169"/>
      <c r="G260" s="169"/>
      <c r="H260" s="169"/>
      <c r="I260" s="169"/>
      <c r="J260" s="169"/>
      <c r="K260" s="169"/>
      <c r="L260" s="169"/>
      <c r="M260" s="169"/>
      <c r="N260" s="169"/>
      <c r="O260" s="169"/>
      <c r="P260" s="169"/>
      <c r="Q260" s="169"/>
      <c r="R260" s="169"/>
      <c r="S260" s="169"/>
      <c r="T260" s="169"/>
      <c r="U260" s="169"/>
      <c r="V260" s="169"/>
      <c r="W260" s="169"/>
      <c r="X260" s="169"/>
      <c r="Y260" s="169"/>
      <c r="Z260" s="169"/>
      <c r="AA260" s="169"/>
      <c r="AB260" s="169"/>
      <c r="AC260" s="169"/>
    </row>
    <row r="261" spans="1:29" s="12" customFormat="1" hidden="1" x14ac:dyDescent="0.3">
      <c r="A261" s="169"/>
      <c r="B261" s="169"/>
      <c r="C261" s="169"/>
      <c r="D261" s="169"/>
      <c r="E261" s="169"/>
      <c r="F261" s="169"/>
      <c r="G261" s="169"/>
      <c r="H261" s="169"/>
      <c r="I261" s="169"/>
      <c r="J261" s="169"/>
      <c r="K261" s="169"/>
      <c r="L261" s="169"/>
      <c r="M261" s="169"/>
      <c r="N261" s="169"/>
      <c r="O261" s="169"/>
      <c r="P261" s="169"/>
      <c r="Q261" s="169"/>
      <c r="R261" s="169"/>
      <c r="S261" s="169"/>
      <c r="T261" s="169"/>
      <c r="U261" s="169"/>
      <c r="V261" s="169"/>
      <c r="W261" s="169"/>
      <c r="X261" s="169"/>
      <c r="Y261" s="169"/>
      <c r="Z261" s="169"/>
      <c r="AA261" s="169"/>
      <c r="AB261" s="169"/>
      <c r="AC261" s="169"/>
    </row>
    <row r="262" spans="1:29" s="12" customFormat="1" hidden="1" x14ac:dyDescent="0.3">
      <c r="A262" s="169"/>
      <c r="B262" s="169"/>
      <c r="C262" s="169"/>
      <c r="D262" s="169"/>
      <c r="E262" s="169"/>
      <c r="F262" s="169"/>
      <c r="G262" s="169"/>
      <c r="H262" s="169"/>
      <c r="I262" s="169"/>
      <c r="J262" s="169"/>
      <c r="K262" s="169"/>
      <c r="L262" s="169"/>
      <c r="M262" s="169"/>
      <c r="N262" s="169"/>
      <c r="O262" s="169"/>
      <c r="P262" s="169"/>
      <c r="Q262" s="169"/>
      <c r="R262" s="169"/>
      <c r="S262" s="169"/>
      <c r="T262" s="169"/>
      <c r="U262" s="169"/>
      <c r="V262" s="169"/>
      <c r="W262" s="169"/>
      <c r="X262" s="169"/>
      <c r="Y262" s="169"/>
      <c r="Z262" s="169"/>
      <c r="AA262" s="169"/>
      <c r="AB262" s="169"/>
      <c r="AC262" s="169"/>
    </row>
    <row r="263" spans="1:29" s="12" customFormat="1" hidden="1" x14ac:dyDescent="0.3">
      <c r="A263" s="169"/>
      <c r="B263" s="169"/>
      <c r="C263" s="169"/>
      <c r="D263" s="169"/>
      <c r="E263" s="169"/>
      <c r="F263" s="169"/>
      <c r="G263" s="169"/>
      <c r="H263" s="169"/>
      <c r="I263" s="169"/>
      <c r="J263" s="169"/>
      <c r="K263" s="169"/>
      <c r="L263" s="169"/>
      <c r="M263" s="169"/>
      <c r="N263" s="169"/>
      <c r="O263" s="169"/>
      <c r="P263" s="169"/>
      <c r="Q263" s="169"/>
      <c r="R263" s="169"/>
      <c r="S263" s="169"/>
      <c r="T263" s="169"/>
      <c r="U263" s="169"/>
      <c r="V263" s="169"/>
      <c r="W263" s="169"/>
      <c r="X263" s="169"/>
      <c r="Y263" s="169"/>
      <c r="Z263" s="169"/>
      <c r="AA263" s="169"/>
      <c r="AB263" s="169"/>
      <c r="AC263" s="169"/>
    </row>
    <row r="264" spans="1:29" s="12" customFormat="1" hidden="1" x14ac:dyDescent="0.3">
      <c r="A264" s="169"/>
      <c r="B264" s="169"/>
      <c r="C264" s="169"/>
      <c r="D264" s="169"/>
      <c r="E264" s="169"/>
      <c r="F264" s="169"/>
      <c r="G264" s="169"/>
      <c r="H264" s="169"/>
      <c r="I264" s="169"/>
      <c r="J264" s="169"/>
      <c r="K264" s="169"/>
      <c r="L264" s="169"/>
      <c r="M264" s="169"/>
      <c r="N264" s="169"/>
      <c r="O264" s="169"/>
      <c r="P264" s="169"/>
      <c r="Q264" s="169"/>
      <c r="R264" s="169"/>
      <c r="S264" s="169"/>
      <c r="T264" s="169"/>
      <c r="U264" s="169"/>
      <c r="V264" s="169"/>
      <c r="W264" s="169"/>
      <c r="X264" s="169"/>
      <c r="Y264" s="169"/>
      <c r="Z264" s="169"/>
      <c r="AA264" s="169"/>
      <c r="AB264" s="169"/>
      <c r="AC264" s="169"/>
    </row>
    <row r="265" spans="1:29" s="12" customFormat="1" hidden="1" x14ac:dyDescent="0.3">
      <c r="A265" s="169"/>
      <c r="B265" s="169"/>
      <c r="C265" s="169"/>
      <c r="D265" s="169"/>
      <c r="E265" s="169"/>
      <c r="F265" s="169"/>
      <c r="G265" s="169"/>
      <c r="H265" s="169"/>
      <c r="I265" s="169"/>
      <c r="J265" s="169"/>
      <c r="K265" s="169"/>
      <c r="L265" s="169"/>
      <c r="M265" s="169"/>
      <c r="N265" s="169"/>
      <c r="O265" s="169"/>
      <c r="P265" s="169"/>
      <c r="Q265" s="169"/>
      <c r="R265" s="169"/>
      <c r="S265" s="169"/>
      <c r="T265" s="169"/>
      <c r="U265" s="169"/>
      <c r="V265" s="169"/>
      <c r="W265" s="169"/>
      <c r="X265" s="169"/>
      <c r="Y265" s="169"/>
      <c r="Z265" s="169"/>
      <c r="AA265" s="169"/>
      <c r="AB265" s="169"/>
      <c r="AC265" s="169"/>
    </row>
    <row r="266" spans="1:29" s="12" customFormat="1" hidden="1" x14ac:dyDescent="0.3">
      <c r="A266" s="169"/>
      <c r="B266" s="169"/>
      <c r="C266" s="169"/>
      <c r="D266" s="169"/>
      <c r="E266" s="169"/>
      <c r="F266" s="169"/>
      <c r="G266" s="169"/>
      <c r="H266" s="169"/>
      <c r="I266" s="169"/>
      <c r="J266" s="169"/>
      <c r="K266" s="169"/>
      <c r="L266" s="169"/>
      <c r="M266" s="169"/>
      <c r="N266" s="169"/>
      <c r="O266" s="169"/>
      <c r="P266" s="169"/>
      <c r="Q266" s="169"/>
      <c r="R266" s="169"/>
      <c r="S266" s="169"/>
      <c r="T266" s="169"/>
      <c r="U266" s="169"/>
      <c r="V266" s="169"/>
      <c r="W266" s="169"/>
      <c r="X266" s="169"/>
      <c r="Y266" s="169"/>
      <c r="Z266" s="169"/>
      <c r="AA266" s="169"/>
      <c r="AB266" s="169"/>
      <c r="AC266" s="169"/>
    </row>
    <row r="267" spans="1:29" s="12" customFormat="1" hidden="1" x14ac:dyDescent="0.3">
      <c r="A267" s="169"/>
      <c r="B267" s="169"/>
      <c r="C267" s="169"/>
      <c r="D267" s="169"/>
      <c r="E267" s="169"/>
      <c r="F267" s="169"/>
      <c r="G267" s="169"/>
      <c r="H267" s="169"/>
      <c r="I267" s="169"/>
      <c r="J267" s="169"/>
      <c r="K267" s="169"/>
      <c r="L267" s="169"/>
      <c r="M267" s="169"/>
      <c r="N267" s="169"/>
      <c r="O267" s="169"/>
      <c r="P267" s="169"/>
      <c r="Q267" s="169"/>
      <c r="R267" s="169"/>
      <c r="S267" s="169"/>
      <c r="T267" s="169"/>
      <c r="U267" s="169"/>
      <c r="V267" s="169"/>
      <c r="W267" s="169"/>
      <c r="X267" s="169"/>
      <c r="Y267" s="169"/>
      <c r="Z267" s="169"/>
      <c r="AA267" s="169"/>
      <c r="AB267" s="169"/>
      <c r="AC267" s="169"/>
    </row>
    <row r="268" spans="1:29" s="12" customFormat="1" hidden="1" x14ac:dyDescent="0.3">
      <c r="A268" s="169"/>
      <c r="B268" s="169"/>
      <c r="C268" s="169"/>
      <c r="D268" s="169"/>
      <c r="E268" s="169"/>
      <c r="F268" s="169"/>
      <c r="G268" s="169"/>
      <c r="H268" s="169"/>
      <c r="I268" s="169"/>
      <c r="J268" s="169"/>
      <c r="K268" s="169"/>
      <c r="L268" s="169"/>
      <c r="M268" s="169"/>
      <c r="N268" s="169"/>
      <c r="O268" s="169"/>
      <c r="P268" s="169"/>
      <c r="Q268" s="169"/>
      <c r="R268" s="169"/>
      <c r="S268" s="169"/>
      <c r="T268" s="169"/>
      <c r="U268" s="169"/>
      <c r="V268" s="169"/>
      <c r="W268" s="169"/>
      <c r="X268" s="169"/>
      <c r="Y268" s="169"/>
      <c r="Z268" s="169"/>
      <c r="AA268" s="169"/>
      <c r="AB268" s="169"/>
      <c r="AC268" s="169"/>
    </row>
    <row r="269" spans="1:29" s="12" customFormat="1" hidden="1" x14ac:dyDescent="0.3">
      <c r="A269" s="169"/>
      <c r="B269" s="169"/>
      <c r="C269" s="169"/>
      <c r="D269" s="169"/>
      <c r="E269" s="169"/>
      <c r="F269" s="169"/>
      <c r="G269" s="169"/>
      <c r="H269" s="169"/>
      <c r="I269" s="169"/>
      <c r="J269" s="169"/>
      <c r="K269" s="169"/>
      <c r="L269" s="169"/>
      <c r="M269" s="169"/>
      <c r="N269" s="169"/>
      <c r="O269" s="169"/>
      <c r="P269" s="169"/>
      <c r="Q269" s="169"/>
      <c r="R269" s="169"/>
      <c r="S269" s="169"/>
      <c r="T269" s="169"/>
      <c r="U269" s="169"/>
      <c r="V269" s="169"/>
      <c r="W269" s="169"/>
      <c r="X269" s="169"/>
      <c r="Y269" s="169"/>
      <c r="Z269" s="169"/>
      <c r="AA269" s="169"/>
      <c r="AB269" s="169"/>
      <c r="AC269" s="169"/>
    </row>
    <row r="270" spans="1:29" s="12" customFormat="1" hidden="1" x14ac:dyDescent="0.3">
      <c r="A270" s="169"/>
      <c r="B270" s="169"/>
      <c r="C270" s="169"/>
      <c r="D270" s="169"/>
      <c r="E270" s="169"/>
      <c r="F270" s="169"/>
      <c r="G270" s="169"/>
      <c r="H270" s="169"/>
      <c r="I270" s="169"/>
      <c r="J270" s="169"/>
      <c r="K270" s="169"/>
      <c r="L270" s="169"/>
      <c r="M270" s="169"/>
      <c r="N270" s="169"/>
      <c r="O270" s="169"/>
      <c r="P270" s="169"/>
      <c r="Q270" s="169"/>
      <c r="R270" s="169"/>
      <c r="S270" s="169"/>
      <c r="T270" s="169"/>
      <c r="U270" s="169"/>
      <c r="V270" s="169"/>
      <c r="W270" s="169"/>
      <c r="X270" s="169"/>
      <c r="Y270" s="169"/>
      <c r="Z270" s="169"/>
      <c r="AA270" s="169"/>
      <c r="AB270" s="169"/>
      <c r="AC270" s="169"/>
    </row>
    <row r="271" spans="1:29" s="12" customFormat="1" hidden="1" x14ac:dyDescent="0.3">
      <c r="A271" s="169"/>
      <c r="B271" s="169"/>
      <c r="C271" s="169"/>
      <c r="D271" s="169"/>
      <c r="E271" s="169"/>
      <c r="F271" s="169"/>
      <c r="G271" s="169"/>
      <c r="H271" s="169"/>
      <c r="I271" s="169"/>
      <c r="J271" s="169"/>
      <c r="K271" s="169"/>
      <c r="L271" s="169"/>
      <c r="M271" s="169"/>
      <c r="N271" s="169"/>
      <c r="O271" s="169"/>
      <c r="P271" s="169"/>
      <c r="Q271" s="169"/>
      <c r="R271" s="169"/>
      <c r="S271" s="169"/>
      <c r="T271" s="169"/>
      <c r="U271" s="169"/>
      <c r="V271" s="169"/>
      <c r="W271" s="169"/>
      <c r="X271" s="169"/>
      <c r="Y271" s="169"/>
      <c r="Z271" s="169"/>
      <c r="AA271" s="169"/>
      <c r="AB271" s="169"/>
      <c r="AC271" s="169"/>
    </row>
    <row r="272" spans="1:29" s="12" customFormat="1" hidden="1" x14ac:dyDescent="0.3">
      <c r="A272" s="169"/>
      <c r="B272" s="169"/>
      <c r="C272" s="169"/>
      <c r="D272" s="169"/>
      <c r="E272" s="169"/>
      <c r="F272" s="169"/>
      <c r="G272" s="169"/>
      <c r="H272" s="169"/>
      <c r="I272" s="169"/>
      <c r="J272" s="169"/>
      <c r="K272" s="169"/>
      <c r="L272" s="169"/>
      <c r="M272" s="169"/>
      <c r="N272" s="169"/>
      <c r="O272" s="169"/>
      <c r="P272" s="169"/>
      <c r="Q272" s="169"/>
      <c r="R272" s="169"/>
      <c r="S272" s="169"/>
      <c r="T272" s="169"/>
      <c r="U272" s="169"/>
      <c r="V272" s="169"/>
      <c r="W272" s="169"/>
      <c r="X272" s="169"/>
      <c r="Y272" s="169"/>
      <c r="Z272" s="169"/>
      <c r="AA272" s="169"/>
      <c r="AB272" s="169"/>
      <c r="AC272" s="169"/>
    </row>
    <row r="273" spans="1:29" s="12" customFormat="1" hidden="1" x14ac:dyDescent="0.3">
      <c r="A273" s="169"/>
      <c r="B273" s="169"/>
      <c r="C273" s="169"/>
      <c r="D273" s="169"/>
      <c r="E273" s="169"/>
      <c r="F273" s="169"/>
      <c r="G273" s="169"/>
      <c r="H273" s="169"/>
      <c r="I273" s="169"/>
      <c r="J273" s="169"/>
      <c r="K273" s="169"/>
      <c r="L273" s="169"/>
      <c r="M273" s="169"/>
      <c r="N273" s="169"/>
      <c r="O273" s="169"/>
      <c r="P273" s="169"/>
      <c r="Q273" s="169"/>
      <c r="R273" s="169"/>
      <c r="S273" s="169"/>
      <c r="T273" s="169"/>
      <c r="U273" s="169"/>
      <c r="V273" s="169"/>
      <c r="W273" s="169"/>
      <c r="X273" s="169"/>
      <c r="Y273" s="169"/>
      <c r="Z273" s="169"/>
      <c r="AA273" s="169"/>
      <c r="AB273" s="169"/>
      <c r="AC273" s="169"/>
    </row>
    <row r="274" spans="1:29" s="12" customFormat="1" hidden="1" x14ac:dyDescent="0.3">
      <c r="A274" s="169"/>
      <c r="B274" s="169"/>
      <c r="C274" s="169"/>
      <c r="D274" s="169"/>
      <c r="E274" s="169"/>
      <c r="F274" s="169"/>
      <c r="G274" s="169"/>
      <c r="H274" s="169"/>
      <c r="I274" s="169"/>
      <c r="J274" s="169"/>
      <c r="K274" s="169"/>
      <c r="L274" s="169"/>
      <c r="M274" s="169"/>
      <c r="N274" s="169"/>
      <c r="O274" s="169"/>
      <c r="P274" s="169"/>
      <c r="Q274" s="169"/>
      <c r="R274" s="169"/>
      <c r="S274" s="169"/>
      <c r="T274" s="169"/>
      <c r="U274" s="169"/>
      <c r="V274" s="169"/>
      <c r="W274" s="169"/>
      <c r="X274" s="169"/>
      <c r="Y274" s="169"/>
      <c r="Z274" s="169"/>
      <c r="AA274" s="169"/>
      <c r="AB274" s="169"/>
      <c r="AC274" s="169"/>
    </row>
    <row r="275" spans="1:29" s="12" customFormat="1" hidden="1" x14ac:dyDescent="0.3">
      <c r="A275" s="169"/>
      <c r="B275" s="169"/>
      <c r="C275" s="169"/>
      <c r="D275" s="169"/>
      <c r="E275" s="169"/>
      <c r="F275" s="169"/>
      <c r="G275" s="169"/>
      <c r="H275" s="169"/>
      <c r="I275" s="169"/>
      <c r="J275" s="169"/>
      <c r="K275" s="169"/>
      <c r="L275" s="169"/>
      <c r="M275" s="169"/>
      <c r="N275" s="169"/>
      <c r="O275" s="169"/>
      <c r="P275" s="169"/>
      <c r="Q275" s="169"/>
      <c r="R275" s="169"/>
      <c r="S275" s="169"/>
      <c r="T275" s="169"/>
      <c r="U275" s="169"/>
      <c r="V275" s="169"/>
      <c r="W275" s="169"/>
      <c r="X275" s="169"/>
      <c r="Y275" s="169"/>
      <c r="Z275" s="169"/>
      <c r="AA275" s="169"/>
      <c r="AB275" s="169"/>
      <c r="AC275" s="169"/>
    </row>
    <row r="276" spans="1:29" s="12" customFormat="1" hidden="1" x14ac:dyDescent="0.3">
      <c r="A276" s="169"/>
      <c r="B276" s="169"/>
      <c r="C276" s="169"/>
      <c r="D276" s="169"/>
      <c r="E276" s="169"/>
      <c r="F276" s="169"/>
      <c r="G276" s="169"/>
      <c r="H276" s="169"/>
      <c r="I276" s="169"/>
      <c r="J276" s="169"/>
      <c r="K276" s="169"/>
      <c r="L276" s="169"/>
      <c r="M276" s="169"/>
      <c r="N276" s="169"/>
      <c r="O276" s="169"/>
      <c r="P276" s="169"/>
      <c r="Q276" s="169"/>
      <c r="R276" s="169"/>
      <c r="S276" s="169"/>
      <c r="T276" s="169"/>
      <c r="U276" s="169"/>
      <c r="V276" s="169"/>
      <c r="W276" s="169"/>
      <c r="X276" s="169"/>
      <c r="Y276" s="169"/>
      <c r="Z276" s="169"/>
      <c r="AA276" s="169"/>
      <c r="AB276" s="169"/>
      <c r="AC276" s="169"/>
    </row>
    <row r="277" spans="1:29" s="12" customFormat="1" hidden="1" x14ac:dyDescent="0.3">
      <c r="A277" s="169"/>
      <c r="B277" s="169"/>
      <c r="C277" s="169"/>
      <c r="D277" s="169"/>
      <c r="E277" s="169"/>
      <c r="F277" s="169"/>
      <c r="G277" s="169"/>
      <c r="H277" s="169"/>
      <c r="I277" s="169"/>
      <c r="J277" s="169"/>
      <c r="K277" s="169"/>
      <c r="L277" s="169"/>
      <c r="M277" s="169"/>
      <c r="N277" s="169"/>
      <c r="O277" s="169"/>
      <c r="P277" s="169"/>
      <c r="Q277" s="169"/>
      <c r="R277" s="169"/>
      <c r="S277" s="169"/>
      <c r="T277" s="169"/>
      <c r="U277" s="169"/>
      <c r="V277" s="169"/>
      <c r="W277" s="169"/>
      <c r="X277" s="169"/>
      <c r="Y277" s="169"/>
      <c r="Z277" s="169"/>
      <c r="AA277" s="169"/>
      <c r="AB277" s="169"/>
      <c r="AC277" s="169"/>
    </row>
    <row r="278" spans="1:29" s="12" customFormat="1" hidden="1" x14ac:dyDescent="0.3">
      <c r="A278" s="169"/>
      <c r="B278" s="169"/>
      <c r="C278" s="169"/>
      <c r="D278" s="169"/>
      <c r="E278" s="169"/>
      <c r="F278" s="169"/>
      <c r="G278" s="169"/>
      <c r="H278" s="169"/>
      <c r="I278" s="169"/>
      <c r="J278" s="169"/>
      <c r="K278" s="169"/>
      <c r="L278" s="169"/>
      <c r="M278" s="169"/>
      <c r="N278" s="169"/>
      <c r="O278" s="169"/>
      <c r="P278" s="169"/>
      <c r="Q278" s="169"/>
      <c r="R278" s="169"/>
      <c r="S278" s="169"/>
      <c r="T278" s="169"/>
      <c r="U278" s="169"/>
      <c r="V278" s="169"/>
      <c r="W278" s="169"/>
      <c r="X278" s="169"/>
      <c r="Y278" s="169"/>
      <c r="Z278" s="169"/>
      <c r="AA278" s="169"/>
      <c r="AB278" s="169"/>
      <c r="AC278" s="169"/>
    </row>
    <row r="279" spans="1:29" s="12" customFormat="1" hidden="1" x14ac:dyDescent="0.3">
      <c r="A279" s="169"/>
      <c r="B279" s="169"/>
      <c r="C279" s="169"/>
      <c r="D279" s="169"/>
      <c r="E279" s="169"/>
      <c r="F279" s="169"/>
      <c r="G279" s="169"/>
      <c r="H279" s="169"/>
      <c r="I279" s="169"/>
      <c r="J279" s="169"/>
      <c r="K279" s="169"/>
      <c r="L279" s="169"/>
      <c r="M279" s="169"/>
      <c r="N279" s="169"/>
      <c r="O279" s="169"/>
      <c r="P279" s="169"/>
      <c r="Q279" s="169"/>
      <c r="R279" s="169"/>
      <c r="S279" s="169"/>
      <c r="T279" s="169"/>
      <c r="U279" s="169"/>
      <c r="V279" s="169"/>
      <c r="W279" s="169"/>
      <c r="X279" s="169"/>
      <c r="Y279" s="169"/>
      <c r="Z279" s="169"/>
      <c r="AA279" s="169"/>
      <c r="AB279" s="169"/>
      <c r="AC279" s="169"/>
    </row>
    <row r="280" spans="1:29" s="12" customFormat="1" hidden="1" x14ac:dyDescent="0.3">
      <c r="A280" s="169"/>
      <c r="B280" s="169"/>
      <c r="C280" s="169"/>
      <c r="D280" s="169"/>
      <c r="E280" s="169"/>
      <c r="F280" s="169"/>
      <c r="G280" s="169"/>
      <c r="H280" s="169"/>
      <c r="I280" s="169"/>
      <c r="J280" s="169"/>
      <c r="K280" s="169"/>
      <c r="L280" s="169"/>
      <c r="M280" s="169"/>
      <c r="N280" s="169"/>
      <c r="O280" s="169"/>
      <c r="P280" s="169"/>
      <c r="Q280" s="169"/>
      <c r="R280" s="169"/>
      <c r="S280" s="169"/>
      <c r="T280" s="169"/>
      <c r="U280" s="169"/>
      <c r="V280" s="169"/>
      <c r="W280" s="169"/>
      <c r="X280" s="169"/>
      <c r="Y280" s="169"/>
      <c r="Z280" s="169"/>
      <c r="AA280" s="169"/>
      <c r="AB280" s="169"/>
      <c r="AC280" s="169"/>
    </row>
    <row r="281" spans="1:29" s="12" customFormat="1" hidden="1" x14ac:dyDescent="0.3">
      <c r="A281" s="169"/>
      <c r="B281" s="169"/>
      <c r="C281" s="169"/>
      <c r="D281" s="169"/>
      <c r="E281" s="169"/>
      <c r="F281" s="169"/>
      <c r="G281" s="169"/>
      <c r="H281" s="169"/>
      <c r="I281" s="169"/>
      <c r="J281" s="169"/>
      <c r="K281" s="169"/>
      <c r="L281" s="169"/>
      <c r="M281" s="169"/>
      <c r="N281" s="169"/>
      <c r="O281" s="169"/>
      <c r="P281" s="169"/>
      <c r="Q281" s="169"/>
      <c r="R281" s="169"/>
      <c r="S281" s="169"/>
      <c r="T281" s="169"/>
      <c r="U281" s="169"/>
      <c r="V281" s="169"/>
      <c r="W281" s="169"/>
      <c r="X281" s="169"/>
      <c r="Y281" s="169"/>
      <c r="Z281" s="169"/>
      <c r="AA281" s="169"/>
      <c r="AB281" s="169"/>
      <c r="AC281" s="169"/>
    </row>
    <row r="282" spans="1:29" s="12" customFormat="1" hidden="1" x14ac:dyDescent="0.3">
      <c r="A282" s="169"/>
      <c r="B282" s="169"/>
      <c r="C282" s="169"/>
      <c r="D282" s="169"/>
      <c r="E282" s="169"/>
      <c r="F282" s="169"/>
      <c r="G282" s="169"/>
      <c r="H282" s="169"/>
      <c r="I282" s="169"/>
      <c r="J282" s="169"/>
      <c r="K282" s="169"/>
      <c r="L282" s="169"/>
      <c r="M282" s="169"/>
      <c r="N282" s="169"/>
      <c r="O282" s="169"/>
      <c r="P282" s="169"/>
      <c r="Q282" s="169"/>
      <c r="R282" s="169"/>
      <c r="S282" s="169"/>
      <c r="T282" s="169"/>
      <c r="U282" s="169"/>
      <c r="V282" s="169"/>
      <c r="W282" s="169"/>
      <c r="X282" s="169"/>
      <c r="Y282" s="169"/>
      <c r="Z282" s="169"/>
      <c r="AA282" s="169"/>
      <c r="AB282" s="169"/>
      <c r="AC282" s="169"/>
    </row>
    <row r="283" spans="1:29" s="12" customFormat="1" hidden="1" x14ac:dyDescent="0.3">
      <c r="A283" s="169"/>
      <c r="B283" s="169"/>
      <c r="C283" s="169"/>
      <c r="D283" s="169"/>
      <c r="E283" s="169"/>
      <c r="F283" s="169"/>
      <c r="G283" s="169"/>
      <c r="H283" s="169"/>
      <c r="I283" s="169"/>
      <c r="J283" s="169"/>
      <c r="K283" s="169"/>
      <c r="L283" s="169"/>
      <c r="M283" s="169"/>
      <c r="N283" s="169"/>
      <c r="O283" s="169"/>
      <c r="P283" s="169"/>
      <c r="Q283" s="169"/>
      <c r="R283" s="169"/>
      <c r="S283" s="169"/>
      <c r="T283" s="169"/>
      <c r="U283" s="169"/>
      <c r="V283" s="169"/>
      <c r="W283" s="169"/>
      <c r="X283" s="169"/>
      <c r="Y283" s="169"/>
      <c r="Z283" s="169"/>
      <c r="AA283" s="169"/>
      <c r="AB283" s="169"/>
      <c r="AC283" s="169"/>
    </row>
    <row r="284" spans="1:29" s="12" customFormat="1" hidden="1" x14ac:dyDescent="0.3">
      <c r="A284" s="169"/>
      <c r="B284" s="169"/>
      <c r="C284" s="169"/>
      <c r="D284" s="169"/>
      <c r="E284" s="169"/>
      <c r="F284" s="169"/>
      <c r="G284" s="169"/>
      <c r="H284" s="169"/>
      <c r="I284" s="169"/>
      <c r="J284" s="169"/>
      <c r="K284" s="169"/>
      <c r="L284" s="169"/>
      <c r="M284" s="169"/>
      <c r="N284" s="169"/>
      <c r="O284" s="169"/>
      <c r="P284" s="169"/>
      <c r="Q284" s="169"/>
      <c r="R284" s="169"/>
      <c r="S284" s="169"/>
      <c r="T284" s="169"/>
      <c r="U284" s="169"/>
      <c r="V284" s="169"/>
      <c r="W284" s="169"/>
      <c r="X284" s="169"/>
      <c r="Y284" s="169"/>
      <c r="Z284" s="169"/>
      <c r="AA284" s="169"/>
      <c r="AB284" s="169"/>
      <c r="AC284" s="169"/>
    </row>
    <row r="285" spans="1:29" s="12" customFormat="1" hidden="1" x14ac:dyDescent="0.3">
      <c r="A285" s="169"/>
      <c r="B285" s="169"/>
      <c r="C285" s="169"/>
      <c r="D285" s="169"/>
      <c r="E285" s="169"/>
      <c r="F285" s="169"/>
      <c r="G285" s="169"/>
      <c r="H285" s="169"/>
      <c r="I285" s="169"/>
      <c r="J285" s="169"/>
      <c r="K285" s="169"/>
      <c r="L285" s="169"/>
      <c r="M285" s="169"/>
      <c r="N285" s="169"/>
      <c r="O285" s="169"/>
      <c r="P285" s="169"/>
      <c r="Q285" s="169"/>
      <c r="R285" s="169"/>
      <c r="S285" s="169"/>
      <c r="T285" s="169"/>
      <c r="U285" s="169"/>
      <c r="V285" s="169"/>
      <c r="W285" s="169"/>
      <c r="X285" s="169"/>
      <c r="Y285" s="169"/>
      <c r="Z285" s="169"/>
      <c r="AA285" s="169"/>
      <c r="AB285" s="169"/>
      <c r="AC285" s="169"/>
    </row>
    <row r="286" spans="1:29" s="12" customFormat="1" hidden="1" x14ac:dyDescent="0.3">
      <c r="A286" s="169"/>
      <c r="B286" s="169"/>
      <c r="C286" s="169"/>
      <c r="D286" s="169"/>
      <c r="E286" s="169"/>
      <c r="F286" s="169"/>
      <c r="G286" s="169"/>
      <c r="H286" s="169"/>
      <c r="I286" s="169"/>
      <c r="J286" s="169"/>
      <c r="K286" s="169"/>
      <c r="L286" s="169"/>
      <c r="M286" s="169"/>
      <c r="N286" s="169"/>
      <c r="O286" s="169"/>
      <c r="P286" s="169"/>
      <c r="Q286" s="169"/>
      <c r="R286" s="169"/>
      <c r="S286" s="169"/>
      <c r="T286" s="169"/>
      <c r="U286" s="169"/>
      <c r="V286" s="169"/>
      <c r="W286" s="169"/>
      <c r="X286" s="169"/>
      <c r="Y286" s="169"/>
      <c r="Z286" s="169"/>
      <c r="AA286" s="169"/>
      <c r="AB286" s="169"/>
      <c r="AC286" s="169"/>
    </row>
    <row r="287" spans="1:29" s="12" customFormat="1" hidden="1" x14ac:dyDescent="0.3">
      <c r="A287" s="169"/>
      <c r="B287" s="169"/>
      <c r="C287" s="169"/>
      <c r="D287" s="169"/>
      <c r="E287" s="169"/>
      <c r="F287" s="169"/>
      <c r="G287" s="169"/>
      <c r="H287" s="169"/>
      <c r="I287" s="169"/>
      <c r="J287" s="169"/>
      <c r="K287" s="169"/>
      <c r="L287" s="169"/>
      <c r="M287" s="169"/>
      <c r="N287" s="169"/>
      <c r="O287" s="169"/>
      <c r="P287" s="169"/>
      <c r="Q287" s="169"/>
      <c r="R287" s="169"/>
      <c r="S287" s="169"/>
      <c r="T287" s="169"/>
      <c r="U287" s="169"/>
      <c r="V287" s="169"/>
      <c r="W287" s="169"/>
      <c r="X287" s="169"/>
      <c r="Y287" s="169"/>
      <c r="Z287" s="169"/>
      <c r="AA287" s="169"/>
      <c r="AB287" s="169"/>
      <c r="AC287" s="169"/>
    </row>
    <row r="288" spans="1:29" s="12" customFormat="1" hidden="1" x14ac:dyDescent="0.3">
      <c r="A288" s="169"/>
      <c r="B288" s="169"/>
      <c r="C288" s="169"/>
      <c r="D288" s="169"/>
      <c r="E288" s="169"/>
      <c r="F288" s="169"/>
      <c r="G288" s="169"/>
      <c r="H288" s="169"/>
      <c r="I288" s="169"/>
      <c r="J288" s="169"/>
      <c r="K288" s="169"/>
      <c r="L288" s="169"/>
      <c r="M288" s="169"/>
      <c r="N288" s="169"/>
      <c r="O288" s="169"/>
      <c r="P288" s="169"/>
      <c r="Q288" s="169"/>
      <c r="R288" s="169"/>
      <c r="S288" s="169"/>
      <c r="T288" s="169"/>
      <c r="U288" s="169"/>
      <c r="V288" s="169"/>
      <c r="W288" s="169"/>
      <c r="X288" s="169"/>
      <c r="Y288" s="169"/>
      <c r="Z288" s="169"/>
      <c r="AA288" s="169"/>
      <c r="AB288" s="169"/>
      <c r="AC288" s="169"/>
    </row>
    <row r="289" spans="1:29" s="12" customFormat="1" hidden="1" x14ac:dyDescent="0.3">
      <c r="A289" s="169"/>
      <c r="B289" s="169"/>
      <c r="C289" s="169"/>
      <c r="D289" s="169"/>
      <c r="E289" s="169"/>
      <c r="F289" s="169"/>
      <c r="G289" s="169"/>
      <c r="H289" s="169"/>
      <c r="I289" s="169"/>
      <c r="J289" s="169"/>
      <c r="K289" s="169"/>
      <c r="L289" s="169"/>
      <c r="M289" s="169"/>
      <c r="N289" s="169"/>
      <c r="O289" s="169"/>
      <c r="P289" s="169"/>
      <c r="Q289" s="169"/>
      <c r="R289" s="169"/>
      <c r="S289" s="169"/>
      <c r="T289" s="169"/>
      <c r="U289" s="169"/>
      <c r="V289" s="169"/>
      <c r="W289" s="169"/>
      <c r="X289" s="169"/>
      <c r="Y289" s="169"/>
      <c r="Z289" s="169"/>
      <c r="AA289" s="169"/>
      <c r="AB289" s="169"/>
      <c r="AC289" s="169"/>
    </row>
    <row r="290" spans="1:29" s="12" customFormat="1" hidden="1" x14ac:dyDescent="0.3">
      <c r="A290" s="169"/>
      <c r="B290" s="169"/>
      <c r="C290" s="169"/>
      <c r="D290" s="169"/>
      <c r="E290" s="169"/>
      <c r="F290" s="169"/>
      <c r="G290" s="169"/>
      <c r="H290" s="169"/>
      <c r="I290" s="169"/>
      <c r="J290" s="169"/>
      <c r="K290" s="169"/>
      <c r="L290" s="169"/>
      <c r="M290" s="169"/>
      <c r="N290" s="169"/>
      <c r="O290" s="169"/>
      <c r="P290" s="169"/>
      <c r="Q290" s="169"/>
      <c r="R290" s="169"/>
      <c r="S290" s="169"/>
      <c r="T290" s="169"/>
      <c r="U290" s="169"/>
      <c r="V290" s="169"/>
      <c r="W290" s="169"/>
      <c r="X290" s="169"/>
      <c r="Y290" s="169"/>
      <c r="Z290" s="169"/>
      <c r="AA290" s="169"/>
      <c r="AB290" s="169"/>
      <c r="AC290" s="169"/>
    </row>
    <row r="291" spans="1:29" s="12" customFormat="1" hidden="1" x14ac:dyDescent="0.3">
      <c r="A291" s="169"/>
      <c r="B291" s="169"/>
      <c r="C291" s="169"/>
      <c r="D291" s="169"/>
      <c r="E291" s="169"/>
      <c r="F291" s="169"/>
      <c r="G291" s="169"/>
      <c r="H291" s="169"/>
      <c r="I291" s="169"/>
      <c r="J291" s="169"/>
      <c r="K291" s="169"/>
      <c r="L291" s="169"/>
      <c r="M291" s="169"/>
      <c r="N291" s="169"/>
      <c r="O291" s="169"/>
      <c r="P291" s="169"/>
      <c r="Q291" s="169"/>
      <c r="R291" s="169"/>
      <c r="S291" s="169"/>
      <c r="T291" s="169"/>
      <c r="U291" s="169"/>
      <c r="V291" s="169"/>
      <c r="W291" s="169"/>
      <c r="X291" s="169"/>
      <c r="Y291" s="169"/>
      <c r="Z291" s="169"/>
      <c r="AA291" s="169"/>
      <c r="AB291" s="169"/>
      <c r="AC291" s="169"/>
    </row>
    <row r="292" spans="1:29" s="12" customFormat="1" hidden="1" x14ac:dyDescent="0.3">
      <c r="A292" s="169"/>
      <c r="B292" s="169"/>
      <c r="C292" s="169"/>
      <c r="D292" s="169"/>
      <c r="E292" s="169"/>
      <c r="F292" s="169"/>
      <c r="G292" s="169"/>
      <c r="H292" s="169"/>
      <c r="I292" s="169"/>
      <c r="J292" s="169"/>
      <c r="K292" s="169"/>
      <c r="L292" s="169"/>
      <c r="M292" s="169"/>
      <c r="N292" s="169"/>
      <c r="O292" s="169"/>
      <c r="P292" s="169"/>
      <c r="Q292" s="169"/>
      <c r="R292" s="169"/>
      <c r="S292" s="169"/>
      <c r="T292" s="169"/>
      <c r="U292" s="169"/>
      <c r="V292" s="169"/>
      <c r="W292" s="169"/>
      <c r="X292" s="169"/>
      <c r="Y292" s="169"/>
      <c r="Z292" s="169"/>
      <c r="AA292" s="169"/>
      <c r="AB292" s="169"/>
      <c r="AC292" s="169"/>
    </row>
    <row r="293" spans="1:29" s="12" customFormat="1" hidden="1" x14ac:dyDescent="0.3">
      <c r="A293" s="169"/>
      <c r="B293" s="169"/>
      <c r="C293" s="169"/>
      <c r="D293" s="169"/>
      <c r="E293" s="169"/>
      <c r="F293" s="169"/>
      <c r="G293" s="169"/>
      <c r="H293" s="169"/>
      <c r="I293" s="169"/>
      <c r="J293" s="169"/>
      <c r="K293" s="169"/>
      <c r="L293" s="169"/>
      <c r="M293" s="169"/>
      <c r="N293" s="169"/>
      <c r="O293" s="169"/>
      <c r="P293" s="169"/>
      <c r="Q293" s="169"/>
      <c r="R293" s="169"/>
      <c r="S293" s="169"/>
      <c r="T293" s="169"/>
      <c r="U293" s="169"/>
      <c r="V293" s="169"/>
      <c r="W293" s="169"/>
      <c r="X293" s="169"/>
      <c r="Y293" s="169"/>
      <c r="Z293" s="169"/>
      <c r="AA293" s="169"/>
      <c r="AB293" s="169"/>
      <c r="AC293" s="169"/>
    </row>
    <row r="294" spans="1:29" s="12" customFormat="1" hidden="1" x14ac:dyDescent="0.3">
      <c r="A294" s="169"/>
      <c r="B294" s="169"/>
      <c r="C294" s="169"/>
      <c r="D294" s="169"/>
      <c r="E294" s="169"/>
      <c r="F294" s="169"/>
      <c r="G294" s="169"/>
      <c r="H294" s="169"/>
      <c r="I294" s="169"/>
      <c r="J294" s="169"/>
      <c r="K294" s="169"/>
      <c r="L294" s="169"/>
      <c r="M294" s="169"/>
      <c r="N294" s="169"/>
      <c r="O294" s="169"/>
      <c r="P294" s="169"/>
      <c r="Q294" s="169"/>
      <c r="R294" s="169"/>
      <c r="S294" s="169"/>
      <c r="T294" s="169"/>
      <c r="U294" s="169"/>
      <c r="V294" s="169"/>
      <c r="W294" s="169"/>
      <c r="X294" s="169"/>
      <c r="Y294" s="169"/>
      <c r="Z294" s="169"/>
      <c r="AA294" s="169"/>
      <c r="AB294" s="169"/>
      <c r="AC294" s="169"/>
    </row>
    <row r="295" spans="1:29" s="12" customFormat="1" hidden="1" x14ac:dyDescent="0.3">
      <c r="A295" s="169"/>
      <c r="B295" s="169"/>
      <c r="C295" s="169"/>
      <c r="D295" s="169"/>
      <c r="E295" s="169"/>
      <c r="F295" s="169"/>
      <c r="G295" s="169"/>
      <c r="H295" s="169"/>
      <c r="I295" s="169"/>
      <c r="J295" s="169"/>
      <c r="K295" s="169"/>
      <c r="L295" s="169"/>
      <c r="M295" s="169"/>
      <c r="N295" s="169"/>
      <c r="O295" s="169"/>
      <c r="P295" s="169"/>
      <c r="Q295" s="169"/>
      <c r="R295" s="169"/>
      <c r="S295" s="169"/>
      <c r="T295" s="169"/>
      <c r="U295" s="169"/>
      <c r="V295" s="169"/>
      <c r="W295" s="169"/>
      <c r="X295" s="169"/>
      <c r="Y295" s="169"/>
      <c r="Z295" s="169"/>
      <c r="AA295" s="169"/>
      <c r="AB295" s="169"/>
      <c r="AC295" s="169"/>
    </row>
    <row r="296" spans="1:29" s="12" customFormat="1" hidden="1" x14ac:dyDescent="0.3">
      <c r="A296" s="169"/>
      <c r="B296" s="169"/>
      <c r="C296" s="169"/>
      <c r="D296" s="169"/>
      <c r="E296" s="169"/>
      <c r="F296" s="169"/>
      <c r="G296" s="169"/>
      <c r="H296" s="169"/>
      <c r="I296" s="169"/>
      <c r="J296" s="169"/>
      <c r="K296" s="169"/>
      <c r="L296" s="169"/>
      <c r="M296" s="169"/>
      <c r="N296" s="169"/>
      <c r="O296" s="169"/>
      <c r="P296" s="169"/>
      <c r="Q296" s="169"/>
      <c r="R296" s="169"/>
      <c r="S296" s="169"/>
      <c r="T296" s="169"/>
      <c r="U296" s="169"/>
      <c r="V296" s="169"/>
      <c r="W296" s="169"/>
      <c r="X296" s="169"/>
      <c r="Y296" s="169"/>
      <c r="Z296" s="169"/>
      <c r="AA296" s="169"/>
      <c r="AB296" s="169"/>
      <c r="AC296" s="169"/>
    </row>
    <row r="297" spans="1:29" s="12" customFormat="1" hidden="1" x14ac:dyDescent="0.3">
      <c r="A297" s="169"/>
      <c r="B297" s="169"/>
      <c r="C297" s="169"/>
      <c r="D297" s="169"/>
      <c r="E297" s="169"/>
      <c r="F297" s="169"/>
      <c r="G297" s="169"/>
      <c r="H297" s="169"/>
      <c r="I297" s="169"/>
      <c r="J297" s="169"/>
      <c r="K297" s="169"/>
      <c r="L297" s="169"/>
      <c r="M297" s="169"/>
      <c r="N297" s="169"/>
      <c r="O297" s="169"/>
      <c r="P297" s="169"/>
      <c r="Q297" s="169"/>
      <c r="R297" s="169"/>
      <c r="S297" s="169"/>
      <c r="T297" s="169"/>
      <c r="U297" s="169"/>
      <c r="V297" s="169"/>
      <c r="W297" s="169"/>
      <c r="X297" s="169"/>
      <c r="Y297" s="169"/>
      <c r="Z297" s="169"/>
      <c r="AA297" s="169"/>
      <c r="AB297" s="169"/>
      <c r="AC297" s="169"/>
    </row>
    <row r="298" spans="1:29" s="12" customFormat="1" hidden="1" x14ac:dyDescent="0.3">
      <c r="A298" s="169"/>
      <c r="B298" s="169"/>
      <c r="C298" s="169"/>
      <c r="D298" s="169"/>
      <c r="E298" s="169"/>
      <c r="F298" s="169"/>
      <c r="G298" s="169"/>
      <c r="H298" s="169"/>
      <c r="I298" s="169"/>
      <c r="J298" s="169"/>
      <c r="K298" s="169"/>
      <c r="L298" s="169"/>
      <c r="M298" s="169"/>
      <c r="N298" s="169"/>
      <c r="O298" s="169"/>
      <c r="P298" s="169"/>
      <c r="Q298" s="169"/>
      <c r="R298" s="169"/>
      <c r="S298" s="169"/>
      <c r="T298" s="169"/>
      <c r="U298" s="169"/>
      <c r="V298" s="169"/>
      <c r="W298" s="169"/>
      <c r="X298" s="169"/>
      <c r="Y298" s="169"/>
      <c r="Z298" s="169"/>
      <c r="AA298" s="169"/>
      <c r="AB298" s="169"/>
      <c r="AC298" s="169"/>
    </row>
    <row r="299" spans="1:29" s="12" customFormat="1" hidden="1" x14ac:dyDescent="0.3">
      <c r="A299" s="169"/>
      <c r="B299" s="169"/>
      <c r="C299" s="169"/>
      <c r="D299" s="169"/>
      <c r="E299" s="169"/>
      <c r="F299" s="169"/>
      <c r="G299" s="169"/>
      <c r="H299" s="169"/>
      <c r="I299" s="169"/>
      <c r="J299" s="169"/>
      <c r="K299" s="169"/>
      <c r="L299" s="169"/>
      <c r="M299" s="169"/>
      <c r="N299" s="169"/>
      <c r="O299" s="169"/>
      <c r="P299" s="169"/>
      <c r="Q299" s="169"/>
      <c r="R299" s="169"/>
      <c r="S299" s="169"/>
      <c r="T299" s="169"/>
      <c r="U299" s="169"/>
      <c r="V299" s="169"/>
      <c r="W299" s="169"/>
      <c r="X299" s="169"/>
      <c r="Y299" s="169"/>
      <c r="Z299" s="169"/>
      <c r="AA299" s="169"/>
      <c r="AB299" s="169"/>
      <c r="AC299" s="169"/>
    </row>
    <row r="300" spans="1:29" s="12" customFormat="1" hidden="1" x14ac:dyDescent="0.3">
      <c r="A300" s="169"/>
      <c r="B300" s="169"/>
      <c r="C300" s="169"/>
      <c r="D300" s="169"/>
      <c r="E300" s="169"/>
      <c r="F300" s="169"/>
      <c r="G300" s="169"/>
      <c r="H300" s="169"/>
      <c r="I300" s="169"/>
      <c r="J300" s="169"/>
      <c r="K300" s="169"/>
      <c r="L300" s="169"/>
      <c r="M300" s="169"/>
      <c r="N300" s="169"/>
      <c r="O300" s="169"/>
      <c r="P300" s="169"/>
      <c r="Q300" s="169"/>
      <c r="R300" s="169"/>
      <c r="S300" s="169"/>
      <c r="T300" s="169"/>
      <c r="U300" s="169"/>
      <c r="V300" s="169"/>
      <c r="W300" s="169"/>
      <c r="X300" s="169"/>
      <c r="Y300" s="169"/>
      <c r="Z300" s="169"/>
      <c r="AA300" s="169"/>
      <c r="AB300" s="169"/>
      <c r="AC300" s="169"/>
    </row>
    <row r="301" spans="1:29" s="12" customFormat="1" hidden="1" x14ac:dyDescent="0.3">
      <c r="A301" s="169"/>
      <c r="B301" s="169"/>
      <c r="C301" s="169"/>
      <c r="D301" s="169"/>
      <c r="E301" s="169"/>
      <c r="F301" s="169"/>
      <c r="G301" s="169"/>
      <c r="H301" s="169"/>
      <c r="I301" s="169"/>
      <c r="J301" s="169"/>
      <c r="K301" s="169"/>
      <c r="L301" s="169"/>
      <c r="M301" s="169"/>
      <c r="N301" s="169"/>
      <c r="O301" s="169"/>
      <c r="P301" s="169"/>
      <c r="Q301" s="169"/>
      <c r="R301" s="169"/>
      <c r="S301" s="169"/>
      <c r="T301" s="169"/>
      <c r="U301" s="169"/>
      <c r="V301" s="169"/>
      <c r="W301" s="169"/>
      <c r="X301" s="169"/>
      <c r="Y301" s="169"/>
      <c r="Z301" s="169"/>
      <c r="AA301" s="169"/>
      <c r="AB301" s="169"/>
      <c r="AC301" s="169"/>
    </row>
    <row r="302" spans="1:29" s="12" customFormat="1" hidden="1" x14ac:dyDescent="0.3">
      <c r="A302" s="169"/>
      <c r="B302" s="169"/>
      <c r="C302" s="169"/>
      <c r="D302" s="169"/>
      <c r="E302" s="169"/>
      <c r="F302" s="169"/>
      <c r="G302" s="169"/>
      <c r="H302" s="169"/>
      <c r="I302" s="169"/>
      <c r="J302" s="169"/>
      <c r="K302" s="169"/>
      <c r="L302" s="169"/>
      <c r="M302" s="169"/>
      <c r="N302" s="169"/>
      <c r="O302" s="169"/>
      <c r="P302" s="169"/>
      <c r="Q302" s="169"/>
      <c r="R302" s="169"/>
      <c r="S302" s="169"/>
      <c r="T302" s="169"/>
      <c r="U302" s="169"/>
      <c r="V302" s="169"/>
      <c r="W302" s="169"/>
      <c r="X302" s="169"/>
      <c r="Y302" s="169"/>
      <c r="Z302" s="169"/>
      <c r="AA302" s="169"/>
      <c r="AB302" s="169"/>
      <c r="AC302" s="169"/>
    </row>
    <row r="303" spans="1:29" s="12" customFormat="1" hidden="1" x14ac:dyDescent="0.3">
      <c r="A303" s="169"/>
      <c r="B303" s="169"/>
      <c r="C303" s="169"/>
      <c r="D303" s="169"/>
      <c r="E303" s="169"/>
      <c r="F303" s="169"/>
      <c r="G303" s="169"/>
      <c r="H303" s="169"/>
      <c r="I303" s="169"/>
      <c r="J303" s="169"/>
      <c r="K303" s="169"/>
      <c r="L303" s="169"/>
      <c r="M303" s="169"/>
      <c r="N303" s="169"/>
      <c r="O303" s="169"/>
      <c r="P303" s="169"/>
      <c r="Q303" s="169"/>
      <c r="R303" s="169"/>
      <c r="S303" s="169"/>
      <c r="T303" s="169"/>
      <c r="U303" s="169"/>
      <c r="V303" s="169"/>
      <c r="W303" s="169"/>
      <c r="X303" s="169"/>
      <c r="Y303" s="169"/>
      <c r="Z303" s="169"/>
      <c r="AA303" s="169"/>
      <c r="AB303" s="169"/>
      <c r="AC303" s="169"/>
    </row>
    <row r="304" spans="1:29" s="12" customFormat="1" hidden="1" x14ac:dyDescent="0.3">
      <c r="A304" s="169"/>
      <c r="B304" s="169"/>
      <c r="C304" s="169"/>
      <c r="D304" s="169"/>
      <c r="E304" s="169"/>
      <c r="F304" s="169"/>
      <c r="G304" s="169"/>
      <c r="H304" s="169"/>
      <c r="I304" s="169"/>
      <c r="J304" s="169"/>
      <c r="K304" s="169"/>
      <c r="L304" s="169"/>
      <c r="M304" s="169"/>
      <c r="N304" s="169"/>
      <c r="O304" s="169"/>
      <c r="P304" s="169"/>
      <c r="Q304" s="169"/>
      <c r="R304" s="169"/>
      <c r="S304" s="169"/>
      <c r="T304" s="169"/>
      <c r="U304" s="169"/>
      <c r="V304" s="169"/>
      <c r="W304" s="169"/>
      <c r="X304" s="169"/>
      <c r="Y304" s="169"/>
      <c r="Z304" s="169"/>
      <c r="AA304" s="169"/>
      <c r="AB304" s="169"/>
      <c r="AC304" s="169"/>
    </row>
    <row r="305" spans="1:29" s="12" customFormat="1" hidden="1" x14ac:dyDescent="0.3">
      <c r="A305" s="169"/>
      <c r="B305" s="169"/>
      <c r="C305" s="169"/>
      <c r="D305" s="169"/>
      <c r="E305" s="169"/>
      <c r="F305" s="169"/>
      <c r="G305" s="169"/>
      <c r="H305" s="169"/>
      <c r="I305" s="169"/>
      <c r="J305" s="169"/>
      <c r="K305" s="169"/>
      <c r="L305" s="169"/>
      <c r="M305" s="169"/>
      <c r="N305" s="169"/>
      <c r="O305" s="169"/>
      <c r="P305" s="169"/>
      <c r="Q305" s="169"/>
      <c r="R305" s="169"/>
      <c r="S305" s="169"/>
      <c r="T305" s="169"/>
      <c r="U305" s="169"/>
      <c r="V305" s="169"/>
      <c r="W305" s="169"/>
      <c r="X305" s="169"/>
      <c r="Y305" s="169"/>
      <c r="Z305" s="169"/>
      <c r="AA305" s="169"/>
      <c r="AB305" s="169"/>
      <c r="AC305" s="169"/>
    </row>
    <row r="306" spans="1:29" s="12" customFormat="1" hidden="1" x14ac:dyDescent="0.3">
      <c r="A306" s="169"/>
      <c r="B306" s="169"/>
      <c r="C306" s="169"/>
      <c r="D306" s="169"/>
      <c r="E306" s="169"/>
      <c r="F306" s="169"/>
      <c r="G306" s="169"/>
      <c r="H306" s="169"/>
      <c r="I306" s="169"/>
      <c r="J306" s="169"/>
      <c r="K306" s="169"/>
      <c r="L306" s="169"/>
      <c r="M306" s="169"/>
      <c r="N306" s="169"/>
      <c r="O306" s="169"/>
      <c r="P306" s="169"/>
      <c r="Q306" s="169"/>
      <c r="R306" s="169"/>
      <c r="S306" s="169"/>
      <c r="T306" s="169"/>
      <c r="U306" s="169"/>
      <c r="V306" s="169"/>
      <c r="W306" s="169"/>
      <c r="X306" s="169"/>
      <c r="Y306" s="169"/>
      <c r="Z306" s="169"/>
      <c r="AA306" s="169"/>
      <c r="AB306" s="169"/>
      <c r="AC306" s="169"/>
    </row>
    <row r="307" spans="1:29" s="12" customFormat="1" hidden="1" x14ac:dyDescent="0.3">
      <c r="A307" s="169"/>
      <c r="B307" s="169"/>
      <c r="C307" s="169"/>
      <c r="D307" s="169"/>
      <c r="E307" s="169"/>
      <c r="F307" s="169"/>
      <c r="G307" s="169"/>
      <c r="H307" s="169"/>
      <c r="I307" s="169"/>
      <c r="J307" s="169"/>
      <c r="K307" s="169"/>
      <c r="L307" s="169"/>
      <c r="M307" s="169"/>
      <c r="N307" s="169"/>
      <c r="O307" s="169"/>
      <c r="P307" s="169"/>
      <c r="Q307" s="169"/>
      <c r="R307" s="169"/>
      <c r="S307" s="169"/>
      <c r="T307" s="169"/>
      <c r="U307" s="169"/>
      <c r="V307" s="169"/>
      <c r="W307" s="169"/>
      <c r="X307" s="169"/>
      <c r="Y307" s="169"/>
      <c r="Z307" s="169"/>
      <c r="AA307" s="169"/>
      <c r="AB307" s="169"/>
      <c r="AC307" s="169"/>
    </row>
    <row r="308" spans="1:29" s="12" customFormat="1" hidden="1" x14ac:dyDescent="0.3">
      <c r="A308" s="169"/>
      <c r="B308" s="169"/>
      <c r="C308" s="169"/>
      <c r="D308" s="169"/>
      <c r="E308" s="169"/>
      <c r="F308" s="169"/>
      <c r="G308" s="169"/>
      <c r="H308" s="169"/>
      <c r="I308" s="169"/>
      <c r="J308" s="169"/>
      <c r="K308" s="169"/>
      <c r="L308" s="169"/>
      <c r="M308" s="169"/>
      <c r="N308" s="169"/>
      <c r="O308" s="169"/>
      <c r="P308" s="169"/>
      <c r="Q308" s="169"/>
      <c r="R308" s="169"/>
      <c r="S308" s="169"/>
      <c r="T308" s="169"/>
      <c r="U308" s="169"/>
      <c r="V308" s="169"/>
      <c r="W308" s="169"/>
      <c r="X308" s="169"/>
      <c r="Y308" s="169"/>
      <c r="Z308" s="169"/>
      <c r="AA308" s="169"/>
      <c r="AB308" s="169"/>
      <c r="AC308" s="169"/>
    </row>
    <row r="309" spans="1:29" s="12" customFormat="1" hidden="1" x14ac:dyDescent="0.3">
      <c r="A309" s="169"/>
      <c r="B309" s="169"/>
      <c r="C309" s="169"/>
      <c r="D309" s="169"/>
      <c r="E309" s="169"/>
      <c r="F309" s="169"/>
      <c r="G309" s="169"/>
      <c r="H309" s="169"/>
      <c r="I309" s="169"/>
      <c r="J309" s="169"/>
      <c r="K309" s="169"/>
      <c r="L309" s="169"/>
      <c r="M309" s="169"/>
      <c r="N309" s="169"/>
      <c r="O309" s="169"/>
      <c r="P309" s="169"/>
      <c r="Q309" s="169"/>
      <c r="R309" s="169"/>
      <c r="S309" s="169"/>
      <c r="T309" s="169"/>
      <c r="U309" s="169"/>
      <c r="V309" s="169"/>
      <c r="W309" s="169"/>
      <c r="X309" s="169"/>
      <c r="Y309" s="169"/>
      <c r="Z309" s="169"/>
      <c r="AA309" s="169"/>
      <c r="AB309" s="169"/>
      <c r="AC309" s="169"/>
    </row>
    <row r="310" spans="1:29" s="12" customFormat="1" hidden="1" x14ac:dyDescent="0.3">
      <c r="A310" s="169"/>
      <c r="B310" s="169"/>
      <c r="C310" s="169"/>
      <c r="D310" s="169"/>
      <c r="E310" s="169"/>
      <c r="F310" s="169"/>
      <c r="G310" s="169"/>
      <c r="H310" s="169"/>
      <c r="I310" s="169"/>
      <c r="J310" s="169"/>
      <c r="K310" s="169"/>
      <c r="L310" s="169"/>
      <c r="M310" s="169"/>
      <c r="N310" s="169"/>
      <c r="O310" s="169"/>
      <c r="P310" s="169"/>
      <c r="Q310" s="169"/>
      <c r="R310" s="169"/>
      <c r="S310" s="169"/>
      <c r="T310" s="169"/>
      <c r="U310" s="169"/>
      <c r="V310" s="169"/>
      <c r="W310" s="169"/>
      <c r="X310" s="169"/>
      <c r="Y310" s="169"/>
      <c r="Z310" s="169"/>
      <c r="AA310" s="169"/>
      <c r="AB310" s="169"/>
      <c r="AC310" s="169"/>
    </row>
    <row r="311" spans="1:29" s="12" customFormat="1" hidden="1" x14ac:dyDescent="0.3">
      <c r="A311" s="169"/>
      <c r="B311" s="169"/>
      <c r="C311" s="169"/>
      <c r="D311" s="169"/>
      <c r="E311" s="169"/>
      <c r="F311" s="169"/>
      <c r="G311" s="169"/>
      <c r="H311" s="169"/>
      <c r="I311" s="169"/>
      <c r="J311" s="169"/>
      <c r="K311" s="169"/>
      <c r="L311" s="169"/>
      <c r="M311" s="169"/>
      <c r="N311" s="169"/>
      <c r="O311" s="169"/>
      <c r="P311" s="169"/>
      <c r="Q311" s="169"/>
      <c r="R311" s="169"/>
      <c r="S311" s="169"/>
      <c r="T311" s="169"/>
      <c r="U311" s="169"/>
      <c r="V311" s="169"/>
      <c r="W311" s="169"/>
      <c r="X311" s="169"/>
      <c r="Y311" s="169"/>
      <c r="Z311" s="169"/>
      <c r="AA311" s="169"/>
      <c r="AB311" s="169"/>
      <c r="AC311" s="169"/>
    </row>
    <row r="312" spans="1:29" s="12" customFormat="1" hidden="1" x14ac:dyDescent="0.3">
      <c r="A312" s="169"/>
      <c r="B312" s="169"/>
      <c r="C312" s="169"/>
      <c r="D312" s="169"/>
      <c r="E312" s="169"/>
      <c r="F312" s="169"/>
      <c r="G312" s="169"/>
      <c r="H312" s="169"/>
      <c r="I312" s="169"/>
      <c r="J312" s="169"/>
      <c r="K312" s="169"/>
      <c r="L312" s="169"/>
      <c r="M312" s="169"/>
      <c r="N312" s="169"/>
      <c r="O312" s="169"/>
      <c r="P312" s="169"/>
      <c r="Q312" s="169"/>
      <c r="R312" s="169"/>
      <c r="S312" s="169"/>
      <c r="T312" s="169"/>
      <c r="U312" s="169"/>
      <c r="V312" s="169"/>
      <c r="W312" s="169"/>
      <c r="X312" s="169"/>
      <c r="Y312" s="169"/>
      <c r="Z312" s="169"/>
      <c r="AA312" s="169"/>
      <c r="AB312" s="169"/>
      <c r="AC312" s="169"/>
    </row>
    <row r="313" spans="1:29" s="12" customFormat="1" hidden="1" x14ac:dyDescent="0.3">
      <c r="A313" s="169"/>
      <c r="B313" s="169"/>
      <c r="C313" s="169"/>
      <c r="D313" s="169"/>
      <c r="E313" s="169"/>
      <c r="F313" s="169"/>
      <c r="G313" s="169"/>
      <c r="H313" s="169"/>
      <c r="I313" s="169"/>
      <c r="J313" s="169"/>
      <c r="K313" s="169"/>
      <c r="L313" s="169"/>
      <c r="M313" s="169"/>
      <c r="N313" s="169"/>
      <c r="O313" s="169"/>
      <c r="P313" s="169"/>
      <c r="Q313" s="169"/>
      <c r="R313" s="169"/>
      <c r="S313" s="169"/>
      <c r="T313" s="169"/>
      <c r="U313" s="169"/>
      <c r="V313" s="169"/>
      <c r="W313" s="169"/>
      <c r="X313" s="169"/>
      <c r="Y313" s="169"/>
      <c r="Z313" s="169"/>
      <c r="AA313" s="169"/>
      <c r="AB313" s="169"/>
      <c r="AC313" s="169"/>
    </row>
    <row r="314" spans="1:29" s="12" customFormat="1" hidden="1" x14ac:dyDescent="0.3">
      <c r="A314" s="169"/>
      <c r="B314" s="169"/>
      <c r="C314" s="169"/>
      <c r="D314" s="169"/>
      <c r="E314" s="169"/>
      <c r="F314" s="169"/>
      <c r="G314" s="169"/>
      <c r="H314" s="169"/>
      <c r="I314" s="169"/>
      <c r="J314" s="169"/>
      <c r="K314" s="169"/>
      <c r="L314" s="169"/>
      <c r="M314" s="169"/>
      <c r="N314" s="169"/>
      <c r="O314" s="169"/>
      <c r="P314" s="169"/>
      <c r="Q314" s="169"/>
      <c r="R314" s="169"/>
      <c r="S314" s="169"/>
      <c r="T314" s="169"/>
      <c r="U314" s="169"/>
      <c r="V314" s="169"/>
      <c r="W314" s="169"/>
      <c r="X314" s="169"/>
      <c r="Y314" s="169"/>
      <c r="Z314" s="169"/>
      <c r="AA314" s="169"/>
      <c r="AB314" s="169"/>
      <c r="AC314" s="169"/>
    </row>
    <row r="315" spans="1:29" s="12" customFormat="1" hidden="1" x14ac:dyDescent="0.3">
      <c r="A315" s="169"/>
      <c r="B315" s="169"/>
      <c r="C315" s="169"/>
      <c r="D315" s="169"/>
      <c r="E315" s="169"/>
      <c r="F315" s="169"/>
      <c r="G315" s="169"/>
      <c r="H315" s="169"/>
      <c r="I315" s="169"/>
      <c r="J315" s="169"/>
      <c r="K315" s="169"/>
      <c r="L315" s="169"/>
      <c r="M315" s="169"/>
      <c r="N315" s="169"/>
      <c r="O315" s="169"/>
      <c r="P315" s="169"/>
      <c r="Q315" s="169"/>
      <c r="R315" s="169"/>
      <c r="S315" s="169"/>
      <c r="T315" s="169"/>
      <c r="U315" s="169"/>
      <c r="V315" s="169"/>
      <c r="W315" s="169"/>
      <c r="X315" s="169"/>
      <c r="Y315" s="169"/>
      <c r="Z315" s="169"/>
      <c r="AA315" s="169"/>
      <c r="AB315" s="169"/>
      <c r="AC315" s="169"/>
    </row>
    <row r="316" spans="1:29" s="12" customFormat="1" hidden="1" x14ac:dyDescent="0.3">
      <c r="A316" s="169"/>
      <c r="B316" s="169"/>
      <c r="C316" s="169"/>
      <c r="D316" s="169"/>
      <c r="E316" s="169"/>
      <c r="F316" s="169"/>
      <c r="G316" s="169"/>
      <c r="H316" s="169"/>
      <c r="I316" s="169"/>
      <c r="J316" s="169"/>
      <c r="K316" s="169"/>
      <c r="L316" s="169"/>
      <c r="M316" s="169"/>
      <c r="N316" s="169"/>
      <c r="O316" s="169"/>
      <c r="P316" s="169"/>
      <c r="Q316" s="169"/>
      <c r="R316" s="169"/>
      <c r="S316" s="169"/>
      <c r="T316" s="169"/>
      <c r="U316" s="169"/>
      <c r="V316" s="169"/>
      <c r="W316" s="169"/>
      <c r="X316" s="169"/>
      <c r="Y316" s="169"/>
      <c r="Z316" s="169"/>
      <c r="AA316" s="169"/>
      <c r="AB316" s="169"/>
      <c r="AC316" s="169"/>
    </row>
    <row r="317" spans="1:29" s="12" customFormat="1" hidden="1" x14ac:dyDescent="0.3">
      <c r="A317" s="169"/>
      <c r="B317" s="169"/>
      <c r="C317" s="169"/>
      <c r="D317" s="169"/>
      <c r="E317" s="169"/>
      <c r="F317" s="169"/>
      <c r="G317" s="169"/>
      <c r="H317" s="169"/>
      <c r="I317" s="169"/>
      <c r="J317" s="169"/>
      <c r="K317" s="169"/>
      <c r="L317" s="169"/>
      <c r="M317" s="169"/>
      <c r="N317" s="169"/>
      <c r="O317" s="169"/>
      <c r="P317" s="169"/>
      <c r="Q317" s="169"/>
      <c r="R317" s="169"/>
      <c r="S317" s="169"/>
      <c r="T317" s="169"/>
      <c r="U317" s="169"/>
      <c r="V317" s="169"/>
      <c r="W317" s="169"/>
      <c r="X317" s="169"/>
      <c r="Y317" s="169"/>
      <c r="Z317" s="169"/>
      <c r="AA317" s="169"/>
      <c r="AB317" s="169"/>
      <c r="AC317" s="169"/>
    </row>
    <row r="318" spans="1:29" s="12" customFormat="1" hidden="1" x14ac:dyDescent="0.3">
      <c r="A318" s="169"/>
      <c r="B318" s="169"/>
      <c r="C318" s="169"/>
      <c r="D318" s="169"/>
      <c r="E318" s="169"/>
      <c r="F318" s="169"/>
      <c r="G318" s="169"/>
      <c r="H318" s="169"/>
      <c r="I318" s="169"/>
      <c r="J318" s="169"/>
      <c r="K318" s="169"/>
      <c r="L318" s="169"/>
      <c r="M318" s="169"/>
      <c r="N318" s="169"/>
      <c r="O318" s="169"/>
      <c r="P318" s="169"/>
      <c r="Q318" s="169"/>
      <c r="R318" s="169"/>
      <c r="S318" s="169"/>
      <c r="T318" s="169"/>
      <c r="U318" s="169"/>
      <c r="V318" s="169"/>
      <c r="W318" s="169"/>
      <c r="X318" s="169"/>
      <c r="Y318" s="169"/>
      <c r="Z318" s="169"/>
      <c r="AA318" s="169"/>
      <c r="AB318" s="169"/>
      <c r="AC318" s="169"/>
    </row>
    <row r="319" spans="1:29" s="12" customFormat="1" hidden="1" x14ac:dyDescent="0.3">
      <c r="A319" s="169"/>
      <c r="B319" s="169"/>
      <c r="C319" s="169"/>
      <c r="D319" s="169"/>
      <c r="E319" s="169"/>
      <c r="F319" s="169"/>
      <c r="G319" s="169"/>
      <c r="H319" s="169"/>
      <c r="I319" s="169"/>
      <c r="J319" s="169"/>
      <c r="K319" s="169"/>
      <c r="L319" s="169"/>
      <c r="M319" s="169"/>
      <c r="N319" s="169"/>
      <c r="O319" s="169"/>
      <c r="P319" s="169"/>
      <c r="Q319" s="169"/>
      <c r="R319" s="169"/>
      <c r="S319" s="169"/>
      <c r="T319" s="169"/>
      <c r="U319" s="169"/>
      <c r="V319" s="169"/>
      <c r="W319" s="169"/>
      <c r="X319" s="169"/>
      <c r="Y319" s="169"/>
      <c r="Z319" s="169"/>
      <c r="AA319" s="169"/>
      <c r="AB319" s="169"/>
      <c r="AC319" s="169"/>
    </row>
    <row r="320" spans="1:29" s="12" customFormat="1" hidden="1" x14ac:dyDescent="0.3">
      <c r="A320" s="169"/>
      <c r="B320" s="169"/>
      <c r="C320" s="169"/>
      <c r="D320" s="169"/>
      <c r="E320" s="169"/>
      <c r="F320" s="169"/>
      <c r="G320" s="169"/>
      <c r="H320" s="169"/>
      <c r="I320" s="169"/>
      <c r="J320" s="169"/>
      <c r="K320" s="169"/>
      <c r="L320" s="169"/>
      <c r="M320" s="169"/>
      <c r="N320" s="169"/>
      <c r="O320" s="169"/>
      <c r="P320" s="169"/>
      <c r="Q320" s="169"/>
      <c r="R320" s="169"/>
      <c r="S320" s="169"/>
      <c r="T320" s="169"/>
      <c r="U320" s="169"/>
      <c r="V320" s="169"/>
      <c r="W320" s="169"/>
      <c r="X320" s="169"/>
      <c r="Y320" s="169"/>
      <c r="Z320" s="169"/>
      <c r="AA320" s="169"/>
      <c r="AB320" s="169"/>
      <c r="AC320" s="169"/>
    </row>
    <row r="321" spans="1:29" s="12" customFormat="1" hidden="1" x14ac:dyDescent="0.3">
      <c r="A321" s="169"/>
      <c r="B321" s="169"/>
      <c r="C321" s="169"/>
      <c r="D321" s="169"/>
      <c r="E321" s="169"/>
      <c r="F321" s="169"/>
      <c r="G321" s="169"/>
      <c r="H321" s="169"/>
      <c r="I321" s="169"/>
      <c r="J321" s="169"/>
      <c r="K321" s="169"/>
      <c r="L321" s="169"/>
      <c r="M321" s="169"/>
      <c r="N321" s="169"/>
      <c r="O321" s="169"/>
      <c r="P321" s="169"/>
      <c r="Q321" s="169"/>
      <c r="R321" s="169"/>
      <c r="S321" s="169"/>
      <c r="T321" s="169"/>
      <c r="U321" s="169"/>
      <c r="V321" s="169"/>
      <c r="W321" s="169"/>
      <c r="X321" s="169"/>
      <c r="Y321" s="169"/>
      <c r="Z321" s="169"/>
      <c r="AA321" s="169"/>
      <c r="AB321" s="169"/>
      <c r="AC321" s="169"/>
    </row>
    <row r="322" spans="1:29" s="12" customFormat="1" hidden="1" x14ac:dyDescent="0.3">
      <c r="A322" s="169"/>
      <c r="B322" s="169"/>
      <c r="C322" s="169"/>
      <c r="D322" s="169"/>
      <c r="E322" s="169"/>
      <c r="F322" s="169"/>
      <c r="G322" s="169"/>
      <c r="H322" s="169"/>
      <c r="I322" s="169"/>
      <c r="J322" s="169"/>
      <c r="K322" s="169"/>
      <c r="L322" s="169"/>
      <c r="M322" s="169"/>
      <c r="N322" s="169"/>
      <c r="O322" s="169"/>
      <c r="P322" s="169"/>
      <c r="Q322" s="169"/>
      <c r="R322" s="169"/>
      <c r="S322" s="169"/>
      <c r="T322" s="169"/>
      <c r="U322" s="169"/>
      <c r="V322" s="169"/>
      <c r="W322" s="169"/>
      <c r="X322" s="169"/>
      <c r="Y322" s="169"/>
      <c r="Z322" s="169"/>
      <c r="AA322" s="169"/>
      <c r="AB322" s="169"/>
      <c r="AC322" s="169"/>
    </row>
    <row r="323" spans="1:29" s="12" customFormat="1" hidden="1" x14ac:dyDescent="0.3">
      <c r="A323" s="169"/>
      <c r="B323" s="169"/>
      <c r="C323" s="169"/>
      <c r="D323" s="169"/>
      <c r="E323" s="169"/>
      <c r="F323" s="169"/>
      <c r="G323" s="169"/>
      <c r="H323" s="169"/>
      <c r="I323" s="169"/>
      <c r="J323" s="169"/>
      <c r="K323" s="169"/>
      <c r="L323" s="169"/>
      <c r="M323" s="169"/>
      <c r="N323" s="169"/>
      <c r="O323" s="169"/>
      <c r="P323" s="169"/>
      <c r="Q323" s="169"/>
      <c r="R323" s="169"/>
      <c r="S323" s="169"/>
      <c r="T323" s="169"/>
      <c r="U323" s="169"/>
      <c r="V323" s="169"/>
      <c r="W323" s="169"/>
      <c r="X323" s="169"/>
      <c r="Y323" s="169"/>
      <c r="Z323" s="169"/>
      <c r="AA323" s="169"/>
      <c r="AB323" s="169"/>
      <c r="AC323" s="169"/>
    </row>
    <row r="324" spans="1:29" s="12" customFormat="1" hidden="1" x14ac:dyDescent="0.3">
      <c r="A324" s="169"/>
      <c r="B324" s="169"/>
      <c r="C324" s="169"/>
      <c r="D324" s="169"/>
      <c r="E324" s="169"/>
      <c r="F324" s="169"/>
      <c r="G324" s="169"/>
      <c r="H324" s="169"/>
      <c r="I324" s="169"/>
      <c r="J324" s="169"/>
      <c r="K324" s="169"/>
      <c r="L324" s="169"/>
      <c r="M324" s="169"/>
      <c r="N324" s="169"/>
      <c r="O324" s="169"/>
      <c r="P324" s="169"/>
      <c r="Q324" s="169"/>
      <c r="R324" s="169"/>
      <c r="S324" s="169"/>
      <c r="T324" s="169"/>
      <c r="U324" s="169"/>
      <c r="V324" s="169"/>
      <c r="W324" s="169"/>
      <c r="X324" s="169"/>
      <c r="Y324" s="169"/>
      <c r="Z324" s="169"/>
      <c r="AA324" s="169"/>
      <c r="AB324" s="169"/>
      <c r="AC324" s="169"/>
    </row>
    <row r="325" spans="1:29" s="12" customFormat="1" hidden="1" x14ac:dyDescent="0.3">
      <c r="A325" s="169"/>
      <c r="B325" s="169"/>
      <c r="C325" s="169"/>
      <c r="D325" s="169"/>
      <c r="E325" s="169"/>
      <c r="F325" s="169"/>
      <c r="G325" s="169"/>
      <c r="H325" s="169"/>
      <c r="I325" s="169"/>
      <c r="J325" s="169"/>
      <c r="K325" s="169"/>
      <c r="L325" s="169"/>
      <c r="M325" s="169"/>
      <c r="N325" s="169"/>
      <c r="O325" s="169"/>
      <c r="P325" s="169"/>
      <c r="Q325" s="169"/>
      <c r="R325" s="169"/>
      <c r="S325" s="169"/>
      <c r="T325" s="169"/>
      <c r="U325" s="169"/>
      <c r="V325" s="169"/>
      <c r="W325" s="169"/>
      <c r="X325" s="169"/>
      <c r="Y325" s="169"/>
      <c r="Z325" s="169"/>
      <c r="AA325" s="169"/>
      <c r="AB325" s="169"/>
      <c r="AC325" s="169"/>
    </row>
    <row r="326" spans="1:29" s="12" customFormat="1" hidden="1" x14ac:dyDescent="0.3">
      <c r="A326" s="169"/>
      <c r="B326" s="169"/>
      <c r="C326" s="169"/>
      <c r="D326" s="169"/>
      <c r="E326" s="169"/>
      <c r="F326" s="169"/>
      <c r="G326" s="169"/>
      <c r="H326" s="169"/>
      <c r="I326" s="169"/>
      <c r="J326" s="169"/>
      <c r="K326" s="169"/>
      <c r="L326" s="169"/>
      <c r="M326" s="169"/>
      <c r="N326" s="169"/>
      <c r="O326" s="169"/>
      <c r="P326" s="169"/>
      <c r="Q326" s="169"/>
      <c r="R326" s="169"/>
      <c r="S326" s="169"/>
      <c r="T326" s="169"/>
      <c r="U326" s="169"/>
      <c r="V326" s="169"/>
      <c r="W326" s="169"/>
      <c r="X326" s="169"/>
      <c r="Y326" s="169"/>
      <c r="Z326" s="169"/>
      <c r="AA326" s="169"/>
      <c r="AB326" s="169"/>
      <c r="AC326" s="169"/>
    </row>
    <row r="327" spans="1:29" s="12" customFormat="1" hidden="1" x14ac:dyDescent="0.3">
      <c r="A327" s="169"/>
      <c r="B327" s="169"/>
      <c r="C327" s="169"/>
      <c r="D327" s="169"/>
      <c r="E327" s="169"/>
      <c r="F327" s="169"/>
      <c r="G327" s="169"/>
      <c r="H327" s="169"/>
      <c r="I327" s="169"/>
      <c r="J327" s="169"/>
      <c r="K327" s="169"/>
      <c r="L327" s="169"/>
      <c r="M327" s="169"/>
      <c r="N327" s="169"/>
      <c r="O327" s="169"/>
      <c r="P327" s="169"/>
      <c r="Q327" s="169"/>
      <c r="R327" s="169"/>
      <c r="S327" s="169"/>
      <c r="T327" s="169"/>
      <c r="U327" s="169"/>
      <c r="V327" s="169"/>
      <c r="W327" s="169"/>
      <c r="X327" s="169"/>
      <c r="Y327" s="169"/>
      <c r="Z327" s="169"/>
      <c r="AA327" s="169"/>
      <c r="AB327" s="169"/>
      <c r="AC327" s="169"/>
    </row>
    <row r="328" spans="1:29" s="12" customFormat="1" hidden="1" x14ac:dyDescent="0.3">
      <c r="A328" s="169"/>
      <c r="B328" s="169"/>
      <c r="C328" s="169"/>
      <c r="D328" s="169"/>
      <c r="E328" s="169"/>
      <c r="F328" s="169"/>
      <c r="G328" s="169"/>
      <c r="H328" s="169"/>
      <c r="I328" s="169"/>
      <c r="J328" s="169"/>
      <c r="K328" s="169"/>
      <c r="L328" s="169"/>
      <c r="M328" s="169"/>
      <c r="N328" s="169"/>
      <c r="O328" s="169"/>
      <c r="P328" s="169"/>
      <c r="Q328" s="169"/>
      <c r="R328" s="169"/>
      <c r="S328" s="169"/>
      <c r="T328" s="169"/>
      <c r="U328" s="169"/>
      <c r="V328" s="169"/>
      <c r="W328" s="169"/>
      <c r="X328" s="169"/>
      <c r="Y328" s="169"/>
      <c r="Z328" s="169"/>
      <c r="AA328" s="169"/>
      <c r="AB328" s="169"/>
      <c r="AC328" s="169"/>
    </row>
    <row r="329" spans="1:29" s="12" customFormat="1" hidden="1" x14ac:dyDescent="0.3">
      <c r="A329" s="169"/>
      <c r="B329" s="169"/>
      <c r="C329" s="169"/>
      <c r="D329" s="169"/>
      <c r="E329" s="169"/>
      <c r="F329" s="169"/>
      <c r="G329" s="169"/>
      <c r="H329" s="169"/>
      <c r="I329" s="169"/>
      <c r="J329" s="169"/>
      <c r="K329" s="169"/>
      <c r="L329" s="169"/>
      <c r="M329" s="169"/>
      <c r="N329" s="169"/>
      <c r="O329" s="169"/>
      <c r="P329" s="169"/>
      <c r="Q329" s="169"/>
      <c r="R329" s="169"/>
      <c r="S329" s="169"/>
      <c r="T329" s="169"/>
      <c r="U329" s="169"/>
      <c r="V329" s="169"/>
      <c r="W329" s="169"/>
      <c r="X329" s="169"/>
      <c r="Y329" s="169"/>
      <c r="Z329" s="169"/>
      <c r="AA329" s="169"/>
      <c r="AB329" s="169"/>
      <c r="AC329" s="169"/>
    </row>
    <row r="330" spans="1:29" s="12" customFormat="1" hidden="1" x14ac:dyDescent="0.3">
      <c r="A330" s="169"/>
      <c r="B330" s="169"/>
      <c r="C330" s="169"/>
      <c r="D330" s="169"/>
      <c r="E330" s="169"/>
      <c r="F330" s="169"/>
      <c r="G330" s="169"/>
      <c r="H330" s="169"/>
      <c r="I330" s="169"/>
      <c r="J330" s="169"/>
      <c r="K330" s="169"/>
      <c r="L330" s="169"/>
      <c r="M330" s="169"/>
      <c r="N330" s="169"/>
      <c r="O330" s="169"/>
      <c r="P330" s="169"/>
      <c r="Q330" s="169"/>
      <c r="R330" s="169"/>
      <c r="S330" s="169"/>
      <c r="T330" s="169"/>
      <c r="U330" s="169"/>
      <c r="V330" s="169"/>
      <c r="W330" s="169"/>
      <c r="X330" s="169"/>
      <c r="Y330" s="169"/>
      <c r="Z330" s="169"/>
      <c r="AA330" s="169"/>
      <c r="AB330" s="169"/>
      <c r="AC330" s="169"/>
    </row>
    <row r="331" spans="1:29" s="12" customFormat="1" hidden="1" x14ac:dyDescent="0.3">
      <c r="A331" s="169"/>
      <c r="B331" s="169"/>
      <c r="C331" s="169"/>
      <c r="D331" s="169"/>
      <c r="E331" s="169"/>
      <c r="F331" s="169"/>
      <c r="G331" s="169"/>
      <c r="H331" s="169"/>
      <c r="I331" s="169"/>
      <c r="J331" s="169"/>
      <c r="K331" s="169"/>
      <c r="L331" s="169"/>
      <c r="M331" s="169"/>
      <c r="N331" s="169"/>
      <c r="O331" s="169"/>
      <c r="P331" s="169"/>
      <c r="Q331" s="169"/>
      <c r="R331" s="169"/>
      <c r="S331" s="169"/>
      <c r="T331" s="169"/>
      <c r="U331" s="169"/>
      <c r="V331" s="169"/>
      <c r="W331" s="169"/>
      <c r="X331" s="169"/>
      <c r="Y331" s="169"/>
      <c r="Z331" s="169"/>
      <c r="AA331" s="169"/>
      <c r="AB331" s="169"/>
      <c r="AC331" s="169"/>
    </row>
    <row r="332" spans="1:29" s="12" customFormat="1" hidden="1" x14ac:dyDescent="0.3">
      <c r="A332" s="169"/>
      <c r="B332" s="169"/>
      <c r="C332" s="169"/>
      <c r="D332" s="169"/>
      <c r="E332" s="169"/>
      <c r="F332" s="169"/>
      <c r="G332" s="169"/>
      <c r="H332" s="169"/>
      <c r="I332" s="169"/>
      <c r="J332" s="169"/>
      <c r="K332" s="169"/>
      <c r="L332" s="169"/>
      <c r="M332" s="169"/>
      <c r="N332" s="169"/>
      <c r="O332" s="169"/>
      <c r="P332" s="169"/>
      <c r="Q332" s="169"/>
      <c r="R332" s="169"/>
      <c r="S332" s="169"/>
      <c r="T332" s="169"/>
      <c r="U332" s="169"/>
      <c r="V332" s="169"/>
      <c r="W332" s="169"/>
      <c r="X332" s="169"/>
      <c r="Y332" s="169"/>
      <c r="Z332" s="169"/>
      <c r="AA332" s="169"/>
      <c r="AB332" s="169"/>
      <c r="AC332" s="169"/>
    </row>
    <row r="333" spans="1:29" s="12" customFormat="1" hidden="1" x14ac:dyDescent="0.3">
      <c r="A333" s="169"/>
      <c r="B333" s="169"/>
      <c r="C333" s="169"/>
      <c r="D333" s="169"/>
      <c r="E333" s="169"/>
      <c r="F333" s="169"/>
      <c r="G333" s="169"/>
      <c r="H333" s="169"/>
      <c r="I333" s="169"/>
      <c r="J333" s="169"/>
      <c r="K333" s="169"/>
      <c r="L333" s="169"/>
      <c r="M333" s="169"/>
      <c r="N333" s="169"/>
      <c r="O333" s="169"/>
      <c r="P333" s="169"/>
      <c r="Q333" s="169"/>
      <c r="R333" s="169"/>
      <c r="S333" s="169"/>
      <c r="T333" s="169"/>
      <c r="U333" s="169"/>
      <c r="V333" s="169"/>
      <c r="W333" s="169"/>
      <c r="X333" s="169"/>
      <c r="Y333" s="169"/>
      <c r="Z333" s="169"/>
      <c r="AA333" s="169"/>
      <c r="AB333" s="169"/>
      <c r="AC333" s="169"/>
    </row>
    <row r="334" spans="1:29" s="12" customFormat="1" hidden="1" x14ac:dyDescent="0.3">
      <c r="A334" s="169"/>
      <c r="B334" s="169"/>
      <c r="C334" s="169"/>
      <c r="D334" s="169"/>
      <c r="E334" s="169"/>
      <c r="F334" s="169"/>
      <c r="G334" s="169"/>
      <c r="H334" s="169"/>
      <c r="I334" s="169"/>
      <c r="J334" s="169"/>
      <c r="K334" s="169"/>
      <c r="L334" s="169"/>
      <c r="M334" s="169"/>
      <c r="N334" s="169"/>
      <c r="O334" s="169"/>
      <c r="P334" s="169"/>
      <c r="Q334" s="169"/>
      <c r="R334" s="169"/>
      <c r="S334" s="169"/>
      <c r="T334" s="169"/>
      <c r="U334" s="169"/>
      <c r="V334" s="169"/>
      <c r="W334" s="169"/>
      <c r="X334" s="169"/>
      <c r="Y334" s="169"/>
      <c r="Z334" s="169"/>
      <c r="AA334" s="169"/>
      <c r="AB334" s="169"/>
      <c r="AC334" s="169"/>
    </row>
    <row r="335" spans="1:29" s="12" customFormat="1" hidden="1" x14ac:dyDescent="0.3">
      <c r="A335" s="169"/>
      <c r="B335" s="169"/>
      <c r="C335" s="169"/>
      <c r="D335" s="169"/>
      <c r="E335" s="169"/>
      <c r="F335" s="169"/>
      <c r="G335" s="169"/>
      <c r="H335" s="169"/>
      <c r="I335" s="169"/>
      <c r="J335" s="169"/>
      <c r="K335" s="169"/>
      <c r="L335" s="169"/>
      <c r="M335" s="169"/>
      <c r="N335" s="169"/>
      <c r="O335" s="169"/>
      <c r="P335" s="169"/>
      <c r="Q335" s="169"/>
      <c r="R335" s="169"/>
      <c r="S335" s="169"/>
      <c r="T335" s="169"/>
      <c r="U335" s="169"/>
      <c r="V335" s="169"/>
      <c r="W335" s="169"/>
      <c r="X335" s="169"/>
      <c r="Y335" s="169"/>
      <c r="Z335" s="169"/>
      <c r="AA335" s="169"/>
      <c r="AB335" s="169"/>
      <c r="AC335" s="169"/>
    </row>
    <row r="336" spans="1:29" s="12" customFormat="1" hidden="1" x14ac:dyDescent="0.3">
      <c r="A336" s="169"/>
      <c r="B336" s="169"/>
      <c r="C336" s="169"/>
      <c r="D336" s="169"/>
      <c r="E336" s="169"/>
      <c r="F336" s="169"/>
      <c r="G336" s="169"/>
      <c r="H336" s="169"/>
      <c r="I336" s="169"/>
      <c r="J336" s="169"/>
      <c r="K336" s="169"/>
      <c r="L336" s="169"/>
      <c r="M336" s="169"/>
      <c r="N336" s="169"/>
      <c r="O336" s="169"/>
      <c r="P336" s="169"/>
      <c r="Q336" s="169"/>
      <c r="R336" s="169"/>
      <c r="S336" s="169"/>
      <c r="T336" s="169"/>
      <c r="U336" s="169"/>
      <c r="V336" s="169"/>
      <c r="W336" s="169"/>
      <c r="X336" s="169"/>
      <c r="Y336" s="169"/>
      <c r="Z336" s="169"/>
      <c r="AA336" s="169"/>
      <c r="AB336" s="169"/>
      <c r="AC336" s="169"/>
    </row>
    <row r="337" spans="1:29" s="12" customFormat="1" hidden="1" x14ac:dyDescent="0.3">
      <c r="A337" s="169"/>
      <c r="B337" s="169"/>
      <c r="C337" s="169"/>
      <c r="D337" s="169"/>
      <c r="E337" s="169"/>
      <c r="F337" s="169"/>
      <c r="G337" s="169"/>
      <c r="H337" s="169"/>
      <c r="I337" s="169"/>
      <c r="J337" s="169"/>
      <c r="K337" s="169"/>
      <c r="L337" s="169"/>
      <c r="M337" s="169"/>
      <c r="N337" s="169"/>
      <c r="O337" s="169"/>
      <c r="P337" s="169"/>
      <c r="Q337" s="169"/>
      <c r="R337" s="169"/>
      <c r="S337" s="169"/>
      <c r="T337" s="169"/>
      <c r="U337" s="169"/>
      <c r="V337" s="169"/>
      <c r="W337" s="169"/>
      <c r="X337" s="169"/>
      <c r="Y337" s="169"/>
      <c r="Z337" s="169"/>
      <c r="AA337" s="169"/>
      <c r="AB337" s="169"/>
      <c r="AC337" s="169"/>
    </row>
    <row r="338" spans="1:29" s="12" customFormat="1" hidden="1" x14ac:dyDescent="0.3">
      <c r="A338" s="169"/>
      <c r="B338" s="169"/>
      <c r="C338" s="169"/>
      <c r="D338" s="169"/>
      <c r="E338" s="169"/>
      <c r="F338" s="169"/>
      <c r="G338" s="169"/>
      <c r="H338" s="169"/>
      <c r="I338" s="169"/>
      <c r="J338" s="169"/>
      <c r="K338" s="169"/>
      <c r="L338" s="169"/>
      <c r="M338" s="169"/>
      <c r="N338" s="169"/>
      <c r="O338" s="169"/>
      <c r="P338" s="169"/>
      <c r="Q338" s="169"/>
      <c r="R338" s="169"/>
      <c r="S338" s="169"/>
      <c r="T338" s="169"/>
      <c r="U338" s="169"/>
      <c r="V338" s="169"/>
      <c r="W338" s="169"/>
      <c r="X338" s="169"/>
      <c r="Y338" s="169"/>
      <c r="Z338" s="169"/>
      <c r="AA338" s="169"/>
      <c r="AB338" s="169"/>
      <c r="AC338" s="169"/>
    </row>
    <row r="339" spans="1:29" s="12" customFormat="1" hidden="1" x14ac:dyDescent="0.3">
      <c r="A339" s="169"/>
      <c r="B339" s="169"/>
      <c r="C339" s="169"/>
      <c r="D339" s="169"/>
      <c r="E339" s="169"/>
      <c r="F339" s="169"/>
      <c r="G339" s="169"/>
      <c r="H339" s="169"/>
      <c r="I339" s="169"/>
      <c r="J339" s="169"/>
      <c r="K339" s="169"/>
      <c r="L339" s="169"/>
      <c r="M339" s="169"/>
      <c r="N339" s="169"/>
      <c r="O339" s="169"/>
      <c r="P339" s="169"/>
      <c r="Q339" s="169"/>
      <c r="R339" s="169"/>
      <c r="S339" s="169"/>
      <c r="T339" s="169"/>
      <c r="U339" s="169"/>
      <c r="V339" s="169"/>
      <c r="W339" s="169"/>
      <c r="X339" s="169"/>
      <c r="Y339" s="169"/>
      <c r="Z339" s="169"/>
      <c r="AA339" s="169"/>
      <c r="AB339" s="169"/>
      <c r="AC339" s="169"/>
    </row>
    <row r="340" spans="1:29" s="12" customFormat="1" hidden="1" x14ac:dyDescent="0.3">
      <c r="A340" s="169"/>
      <c r="B340" s="169"/>
      <c r="C340" s="169"/>
      <c r="D340" s="169"/>
      <c r="E340" s="169"/>
      <c r="F340" s="169"/>
      <c r="G340" s="169"/>
      <c r="H340" s="169"/>
      <c r="I340" s="169"/>
      <c r="J340" s="169"/>
      <c r="K340" s="169"/>
      <c r="L340" s="169"/>
      <c r="M340" s="169"/>
      <c r="N340" s="169"/>
      <c r="O340" s="169"/>
      <c r="P340" s="169"/>
      <c r="Q340" s="169"/>
      <c r="R340" s="169"/>
      <c r="S340" s="169"/>
      <c r="T340" s="169"/>
      <c r="U340" s="169"/>
      <c r="V340" s="169"/>
      <c r="W340" s="169"/>
      <c r="X340" s="169"/>
      <c r="Y340" s="169"/>
      <c r="Z340" s="169"/>
      <c r="AA340" s="169"/>
      <c r="AB340" s="169"/>
      <c r="AC340" s="169"/>
    </row>
    <row r="341" spans="1:29" s="12" customFormat="1" hidden="1" x14ac:dyDescent="0.3">
      <c r="A341" s="169"/>
      <c r="B341" s="169"/>
      <c r="C341" s="169"/>
      <c r="D341" s="169"/>
      <c r="E341" s="169"/>
      <c r="F341" s="169"/>
      <c r="G341" s="169"/>
      <c r="H341" s="169"/>
      <c r="I341" s="169"/>
      <c r="J341" s="169"/>
      <c r="K341" s="169"/>
      <c r="L341" s="169"/>
      <c r="M341" s="169"/>
      <c r="N341" s="169"/>
      <c r="O341" s="169"/>
      <c r="P341" s="169"/>
      <c r="Q341" s="169"/>
      <c r="R341" s="169"/>
      <c r="S341" s="169"/>
      <c r="T341" s="169"/>
      <c r="U341" s="169"/>
      <c r="V341" s="169"/>
      <c r="W341" s="169"/>
      <c r="X341" s="169"/>
      <c r="Y341" s="169"/>
      <c r="Z341" s="169"/>
      <c r="AA341" s="169"/>
      <c r="AB341" s="169"/>
      <c r="AC341" s="169"/>
    </row>
    <row r="342" spans="1:29" s="12" customFormat="1" hidden="1" x14ac:dyDescent="0.3">
      <c r="A342" s="169"/>
      <c r="B342" s="169"/>
      <c r="C342" s="169"/>
      <c r="D342" s="169"/>
      <c r="E342" s="169"/>
      <c r="F342" s="169"/>
      <c r="G342" s="169"/>
      <c r="H342" s="169"/>
      <c r="I342" s="169"/>
      <c r="J342" s="169"/>
      <c r="K342" s="169"/>
      <c r="L342" s="169"/>
      <c r="M342" s="169"/>
      <c r="N342" s="169"/>
      <c r="O342" s="169"/>
      <c r="P342" s="169"/>
      <c r="Q342" s="169"/>
      <c r="R342" s="169"/>
      <c r="S342" s="169"/>
      <c r="T342" s="169"/>
      <c r="U342" s="169"/>
      <c r="V342" s="169"/>
      <c r="W342" s="169"/>
      <c r="X342" s="169"/>
      <c r="Y342" s="169"/>
      <c r="Z342" s="169"/>
      <c r="AA342" s="169"/>
      <c r="AB342" s="169"/>
      <c r="AC342" s="169"/>
    </row>
    <row r="343" spans="1:29" s="12" customFormat="1" hidden="1" x14ac:dyDescent="0.3">
      <c r="A343" s="169"/>
      <c r="B343" s="169"/>
      <c r="C343" s="169"/>
      <c r="D343" s="169"/>
      <c r="E343" s="169"/>
      <c r="F343" s="169"/>
      <c r="G343" s="169"/>
      <c r="H343" s="169"/>
      <c r="I343" s="169"/>
      <c r="J343" s="169"/>
      <c r="K343" s="169"/>
      <c r="L343" s="169"/>
      <c r="M343" s="169"/>
      <c r="N343" s="169"/>
      <c r="O343" s="169"/>
      <c r="P343" s="169"/>
      <c r="Q343" s="169"/>
      <c r="R343" s="169"/>
      <c r="S343" s="169"/>
      <c r="T343" s="169"/>
      <c r="U343" s="169"/>
      <c r="V343" s="169"/>
      <c r="W343" s="169"/>
      <c r="X343" s="169"/>
      <c r="Y343" s="169"/>
      <c r="Z343" s="169"/>
      <c r="AA343" s="169"/>
      <c r="AB343" s="169"/>
      <c r="AC343" s="169"/>
    </row>
    <row r="344" spans="1:29" s="12" customFormat="1" hidden="1" x14ac:dyDescent="0.3">
      <c r="A344" s="169"/>
      <c r="B344" s="169"/>
      <c r="C344" s="169"/>
      <c r="D344" s="169"/>
      <c r="E344" s="169"/>
      <c r="F344" s="169"/>
      <c r="G344" s="169"/>
      <c r="H344" s="169"/>
      <c r="I344" s="169"/>
      <c r="J344" s="169"/>
      <c r="K344" s="169"/>
      <c r="L344" s="169"/>
      <c r="M344" s="169"/>
      <c r="N344" s="169"/>
      <c r="O344" s="169"/>
      <c r="P344" s="169"/>
      <c r="Q344" s="169"/>
      <c r="R344" s="169"/>
      <c r="S344" s="169"/>
      <c r="T344" s="169"/>
      <c r="U344" s="169"/>
      <c r="V344" s="169"/>
      <c r="W344" s="169"/>
      <c r="X344" s="169"/>
      <c r="Y344" s="169"/>
      <c r="Z344" s="169"/>
      <c r="AA344" s="169"/>
      <c r="AB344" s="169"/>
      <c r="AC344" s="169"/>
    </row>
    <row r="345" spans="1:29" s="12" customFormat="1" hidden="1" x14ac:dyDescent="0.3">
      <c r="A345" s="169"/>
      <c r="B345" s="169"/>
      <c r="C345" s="169"/>
      <c r="D345" s="169"/>
      <c r="E345" s="169"/>
      <c r="F345" s="169"/>
      <c r="G345" s="169"/>
      <c r="H345" s="169"/>
      <c r="I345" s="169"/>
      <c r="J345" s="169"/>
      <c r="K345" s="169"/>
      <c r="L345" s="169"/>
      <c r="M345" s="169"/>
      <c r="N345" s="169"/>
      <c r="O345" s="169"/>
      <c r="P345" s="169"/>
      <c r="Q345" s="169"/>
      <c r="R345" s="169"/>
      <c r="S345" s="169"/>
      <c r="T345" s="169"/>
      <c r="U345" s="169"/>
      <c r="V345" s="169"/>
      <c r="W345" s="169"/>
      <c r="X345" s="169"/>
      <c r="Y345" s="169"/>
      <c r="Z345" s="169"/>
      <c r="AA345" s="169"/>
      <c r="AB345" s="169"/>
      <c r="AC345" s="169"/>
    </row>
    <row r="346" spans="1:29" s="12" customFormat="1" hidden="1" x14ac:dyDescent="0.3">
      <c r="A346" s="169"/>
      <c r="B346" s="169"/>
      <c r="C346" s="169"/>
      <c r="D346" s="169"/>
      <c r="E346" s="169"/>
      <c r="F346" s="169"/>
      <c r="G346" s="169"/>
      <c r="H346" s="169"/>
      <c r="I346" s="169"/>
      <c r="J346" s="169"/>
      <c r="K346" s="169"/>
      <c r="L346" s="169"/>
      <c r="M346" s="169"/>
      <c r="N346" s="169"/>
      <c r="O346" s="169"/>
      <c r="P346" s="169"/>
      <c r="Q346" s="169"/>
      <c r="R346" s="169"/>
      <c r="S346" s="169"/>
      <c r="T346" s="169"/>
      <c r="U346" s="169"/>
      <c r="V346" s="169"/>
      <c r="W346" s="169"/>
      <c r="X346" s="169"/>
      <c r="Y346" s="169"/>
      <c r="Z346" s="169"/>
      <c r="AA346" s="169"/>
      <c r="AB346" s="169"/>
      <c r="AC346" s="169"/>
    </row>
    <row r="347" spans="1:29" s="12" customFormat="1" hidden="1" x14ac:dyDescent="0.3">
      <c r="A347" s="169"/>
      <c r="B347" s="169"/>
      <c r="C347" s="169"/>
      <c r="D347" s="169"/>
      <c r="E347" s="169"/>
      <c r="F347" s="169"/>
      <c r="G347" s="169"/>
      <c r="H347" s="169"/>
      <c r="I347" s="169"/>
      <c r="J347" s="169"/>
      <c r="K347" s="169"/>
      <c r="L347" s="169"/>
      <c r="M347" s="169"/>
      <c r="N347" s="169"/>
      <c r="O347" s="169"/>
      <c r="P347" s="169"/>
      <c r="Q347" s="169"/>
      <c r="R347" s="169"/>
      <c r="S347" s="169"/>
      <c r="T347" s="169"/>
      <c r="U347" s="169"/>
      <c r="V347" s="169"/>
      <c r="W347" s="169"/>
      <c r="X347" s="169"/>
      <c r="Y347" s="169"/>
      <c r="Z347" s="169"/>
      <c r="AA347" s="169"/>
      <c r="AB347" s="169"/>
      <c r="AC347" s="169"/>
    </row>
    <row r="348" spans="1:29" s="12" customFormat="1" hidden="1" x14ac:dyDescent="0.3">
      <c r="A348" s="169"/>
      <c r="B348" s="169"/>
      <c r="C348" s="169"/>
      <c r="D348" s="169"/>
      <c r="E348" s="169"/>
      <c r="F348" s="169"/>
      <c r="G348" s="169"/>
      <c r="H348" s="169"/>
      <c r="I348" s="169"/>
      <c r="J348" s="169"/>
      <c r="K348" s="169"/>
      <c r="L348" s="169"/>
      <c r="M348" s="169"/>
      <c r="N348" s="169"/>
      <c r="O348" s="169"/>
      <c r="P348" s="169"/>
      <c r="Q348" s="169"/>
      <c r="R348" s="169"/>
      <c r="S348" s="169"/>
      <c r="T348" s="169"/>
      <c r="U348" s="169"/>
      <c r="V348" s="169"/>
      <c r="W348" s="169"/>
      <c r="X348" s="169"/>
      <c r="Y348" s="169"/>
      <c r="Z348" s="169"/>
      <c r="AA348" s="169"/>
      <c r="AB348" s="169"/>
      <c r="AC348" s="169"/>
    </row>
    <row r="349" spans="1:29" s="12" customFormat="1" hidden="1" x14ac:dyDescent="0.3">
      <c r="A349" s="169"/>
      <c r="B349" s="169"/>
      <c r="C349" s="169"/>
      <c r="D349" s="169"/>
      <c r="E349" s="169"/>
      <c r="F349" s="169"/>
      <c r="G349" s="169"/>
      <c r="H349" s="169"/>
      <c r="I349" s="169"/>
      <c r="J349" s="169"/>
      <c r="K349" s="169"/>
      <c r="L349" s="169"/>
      <c r="M349" s="169"/>
      <c r="N349" s="169"/>
      <c r="O349" s="169"/>
      <c r="P349" s="169"/>
      <c r="Q349" s="169"/>
      <c r="R349" s="169"/>
      <c r="S349" s="169"/>
      <c r="T349" s="169"/>
      <c r="U349" s="169"/>
      <c r="V349" s="169"/>
      <c r="W349" s="169"/>
      <c r="X349" s="169"/>
      <c r="Y349" s="169"/>
      <c r="Z349" s="169"/>
      <c r="AA349" s="169"/>
      <c r="AB349" s="169"/>
      <c r="AC349" s="169"/>
    </row>
    <row r="350" spans="1:29" s="12" customFormat="1" hidden="1" x14ac:dyDescent="0.3">
      <c r="A350" s="169"/>
      <c r="B350" s="169"/>
      <c r="C350" s="169"/>
      <c r="D350" s="169"/>
      <c r="E350" s="169"/>
      <c r="F350" s="169"/>
      <c r="G350" s="169"/>
      <c r="H350" s="169"/>
      <c r="I350" s="169"/>
      <c r="J350" s="169"/>
      <c r="K350" s="169"/>
      <c r="L350" s="169"/>
      <c r="M350" s="169"/>
      <c r="N350" s="169"/>
      <c r="O350" s="169"/>
      <c r="P350" s="169"/>
      <c r="Q350" s="169"/>
      <c r="R350" s="169"/>
      <c r="S350" s="169"/>
      <c r="T350" s="169"/>
      <c r="U350" s="169"/>
      <c r="V350" s="169"/>
      <c r="W350" s="169"/>
      <c r="X350" s="169"/>
      <c r="Y350" s="169"/>
      <c r="Z350" s="169"/>
      <c r="AA350" s="169"/>
      <c r="AB350" s="169"/>
      <c r="AC350" s="169"/>
    </row>
    <row r="351" spans="1:29" s="12" customFormat="1" hidden="1" x14ac:dyDescent="0.3">
      <c r="A351" s="169"/>
      <c r="B351" s="169"/>
      <c r="C351" s="169"/>
      <c r="D351" s="169"/>
      <c r="E351" s="169"/>
      <c r="F351" s="169"/>
      <c r="G351" s="169"/>
      <c r="H351" s="169"/>
      <c r="I351" s="169"/>
      <c r="J351" s="169"/>
      <c r="K351" s="169"/>
      <c r="L351" s="169"/>
      <c r="M351" s="169"/>
      <c r="N351" s="169"/>
      <c r="O351" s="169"/>
      <c r="P351" s="169"/>
      <c r="Q351" s="169"/>
      <c r="R351" s="169"/>
      <c r="S351" s="169"/>
      <c r="T351" s="169"/>
      <c r="U351" s="169"/>
      <c r="V351" s="169"/>
      <c r="W351" s="169"/>
      <c r="X351" s="169"/>
      <c r="Y351" s="169"/>
      <c r="Z351" s="169"/>
      <c r="AA351" s="169"/>
      <c r="AB351" s="169"/>
      <c r="AC351" s="169"/>
    </row>
    <row r="352" spans="1:29" s="12" customFormat="1" hidden="1" x14ac:dyDescent="0.3">
      <c r="A352" s="169"/>
      <c r="B352" s="169"/>
      <c r="C352" s="169"/>
      <c r="D352" s="169"/>
      <c r="E352" s="169"/>
      <c r="F352" s="169"/>
      <c r="G352" s="169"/>
      <c r="H352" s="169"/>
      <c r="I352" s="169"/>
      <c r="J352" s="169"/>
      <c r="K352" s="169"/>
      <c r="L352" s="169"/>
      <c r="M352" s="169"/>
      <c r="N352" s="169"/>
      <c r="O352" s="169"/>
      <c r="P352" s="169"/>
      <c r="Q352" s="169"/>
      <c r="R352" s="169"/>
      <c r="S352" s="169"/>
      <c r="T352" s="169"/>
      <c r="U352" s="169"/>
      <c r="V352" s="169"/>
      <c r="W352" s="169"/>
      <c r="X352" s="169"/>
      <c r="Y352" s="169"/>
      <c r="Z352" s="169"/>
      <c r="AA352" s="169"/>
      <c r="AB352" s="169"/>
      <c r="AC352" s="169"/>
    </row>
    <row r="353" spans="1:29" s="12" customFormat="1" hidden="1" x14ac:dyDescent="0.3">
      <c r="A353" s="169"/>
      <c r="B353" s="169"/>
      <c r="C353" s="169"/>
      <c r="D353" s="169"/>
      <c r="E353" s="169"/>
      <c r="F353" s="169"/>
      <c r="G353" s="169"/>
      <c r="H353" s="169"/>
      <c r="I353" s="169"/>
      <c r="J353" s="169"/>
      <c r="K353" s="169"/>
      <c r="L353" s="169"/>
      <c r="M353" s="169"/>
      <c r="N353" s="169"/>
      <c r="O353" s="169"/>
      <c r="P353" s="169"/>
      <c r="Q353" s="169"/>
      <c r="R353" s="169"/>
      <c r="S353" s="169"/>
      <c r="T353" s="169"/>
      <c r="U353" s="169"/>
      <c r="V353" s="169"/>
      <c r="W353" s="169"/>
      <c r="X353" s="169"/>
      <c r="Y353" s="169"/>
      <c r="Z353" s="169"/>
      <c r="AA353" s="169"/>
      <c r="AB353" s="169"/>
      <c r="AC353" s="169"/>
    </row>
    <row r="354" spans="1:29" s="12" customFormat="1" hidden="1" x14ac:dyDescent="0.3">
      <c r="A354" s="169"/>
      <c r="B354" s="169"/>
      <c r="C354" s="169"/>
      <c r="D354" s="169"/>
      <c r="E354" s="169"/>
      <c r="F354" s="169"/>
      <c r="G354" s="169"/>
      <c r="H354" s="169"/>
      <c r="I354" s="169"/>
      <c r="J354" s="169"/>
      <c r="K354" s="169"/>
      <c r="L354" s="169"/>
      <c r="M354" s="169"/>
      <c r="N354" s="169"/>
      <c r="O354" s="169"/>
      <c r="P354" s="169"/>
      <c r="Q354" s="169"/>
      <c r="R354" s="169"/>
      <c r="S354" s="169"/>
      <c r="T354" s="169"/>
      <c r="U354" s="169"/>
      <c r="V354" s="169"/>
      <c r="W354" s="169"/>
      <c r="X354" s="169"/>
      <c r="Y354" s="169"/>
      <c r="Z354" s="169"/>
      <c r="AA354" s="169"/>
      <c r="AB354" s="169"/>
      <c r="AC354" s="169"/>
    </row>
    <row r="355" spans="1:29" s="12" customFormat="1" hidden="1" x14ac:dyDescent="0.3">
      <c r="A355" s="169"/>
      <c r="B355" s="169"/>
      <c r="C355" s="169"/>
      <c r="D355" s="169"/>
      <c r="E355" s="169"/>
      <c r="F355" s="169"/>
      <c r="G355" s="169"/>
      <c r="H355" s="169"/>
      <c r="I355" s="169"/>
      <c r="J355" s="169"/>
      <c r="K355" s="169"/>
      <c r="L355" s="169"/>
      <c r="M355" s="169"/>
      <c r="N355" s="169"/>
      <c r="O355" s="169"/>
      <c r="P355" s="169"/>
      <c r="Q355" s="169"/>
      <c r="R355" s="169"/>
      <c r="S355" s="169"/>
      <c r="T355" s="169"/>
      <c r="U355" s="169"/>
      <c r="V355" s="169"/>
      <c r="W355" s="169"/>
      <c r="X355" s="169"/>
      <c r="Y355" s="169"/>
      <c r="Z355" s="169"/>
      <c r="AA355" s="169"/>
      <c r="AB355" s="169"/>
      <c r="AC355" s="169"/>
    </row>
    <row r="356" spans="1:29" s="12" customFormat="1" hidden="1" x14ac:dyDescent="0.3">
      <c r="A356" s="169"/>
      <c r="B356" s="169"/>
      <c r="C356" s="169"/>
      <c r="D356" s="169"/>
      <c r="E356" s="169"/>
      <c r="F356" s="169"/>
      <c r="G356" s="169"/>
      <c r="H356" s="169"/>
      <c r="I356" s="169"/>
      <c r="J356" s="169"/>
      <c r="K356" s="169"/>
      <c r="L356" s="169"/>
      <c r="M356" s="169"/>
      <c r="N356" s="169"/>
      <c r="O356" s="169"/>
      <c r="P356" s="169"/>
      <c r="Q356" s="169"/>
      <c r="R356" s="169"/>
      <c r="S356" s="169"/>
      <c r="T356" s="169"/>
      <c r="U356" s="169"/>
      <c r="V356" s="169"/>
      <c r="W356" s="169"/>
      <c r="X356" s="169"/>
      <c r="Y356" s="169"/>
      <c r="Z356" s="169"/>
      <c r="AA356" s="169"/>
      <c r="AB356" s="169"/>
      <c r="AC356" s="169"/>
    </row>
    <row r="357" spans="1:29" s="12" customFormat="1" hidden="1" x14ac:dyDescent="0.3">
      <c r="A357" s="169"/>
      <c r="B357" s="169"/>
      <c r="C357" s="169"/>
      <c r="D357" s="169"/>
      <c r="E357" s="169"/>
      <c r="F357" s="169"/>
      <c r="G357" s="169"/>
      <c r="H357" s="169"/>
      <c r="I357" s="169"/>
      <c r="J357" s="169"/>
      <c r="K357" s="169"/>
      <c r="L357" s="169"/>
      <c r="M357" s="169"/>
      <c r="N357" s="169"/>
      <c r="O357" s="169"/>
      <c r="P357" s="169"/>
      <c r="Q357" s="169"/>
      <c r="R357" s="169"/>
      <c r="S357" s="169"/>
      <c r="T357" s="169"/>
      <c r="U357" s="169"/>
      <c r="V357" s="169"/>
      <c r="W357" s="169"/>
      <c r="X357" s="169"/>
      <c r="Y357" s="169"/>
      <c r="Z357" s="169"/>
      <c r="AA357" s="169"/>
      <c r="AB357" s="169"/>
      <c r="AC357" s="169"/>
    </row>
    <row r="358" spans="1:29" s="12" customFormat="1" hidden="1" x14ac:dyDescent="0.3">
      <c r="A358" s="169"/>
      <c r="B358" s="169"/>
      <c r="C358" s="169"/>
      <c r="D358" s="169"/>
      <c r="E358" s="169"/>
      <c r="F358" s="169"/>
      <c r="G358" s="169"/>
      <c r="H358" s="169"/>
      <c r="I358" s="169"/>
      <c r="J358" s="169"/>
      <c r="K358" s="169"/>
      <c r="L358" s="169"/>
      <c r="M358" s="169"/>
      <c r="N358" s="169"/>
      <c r="O358" s="169"/>
      <c r="P358" s="169"/>
      <c r="Q358" s="169"/>
      <c r="R358" s="169"/>
      <c r="S358" s="169"/>
      <c r="T358" s="169"/>
      <c r="U358" s="169"/>
      <c r="V358" s="169"/>
      <c r="W358" s="169"/>
      <c r="X358" s="169"/>
      <c r="Y358" s="169"/>
      <c r="Z358" s="169"/>
      <c r="AA358" s="169"/>
      <c r="AB358" s="169"/>
      <c r="AC358" s="169"/>
    </row>
    <row r="359" spans="1:29" s="12" customFormat="1" hidden="1" x14ac:dyDescent="0.3">
      <c r="A359" s="169"/>
      <c r="B359" s="169"/>
      <c r="C359" s="169"/>
      <c r="D359" s="169"/>
      <c r="E359" s="169"/>
      <c r="F359" s="169"/>
      <c r="G359" s="169"/>
      <c r="H359" s="169"/>
      <c r="I359" s="169"/>
      <c r="J359" s="169"/>
      <c r="K359" s="169"/>
      <c r="L359" s="169"/>
      <c r="M359" s="169"/>
      <c r="N359" s="169"/>
      <c r="O359" s="169"/>
      <c r="P359" s="169"/>
      <c r="Q359" s="169"/>
      <c r="R359" s="169"/>
      <c r="S359" s="169"/>
      <c r="T359" s="169"/>
      <c r="U359" s="169"/>
      <c r="V359" s="169"/>
      <c r="W359" s="169"/>
      <c r="X359" s="169"/>
      <c r="Y359" s="169"/>
      <c r="Z359" s="169"/>
      <c r="AA359" s="169"/>
      <c r="AB359" s="169"/>
      <c r="AC359" s="169"/>
    </row>
    <row r="360" spans="1:29" s="12" customFormat="1" hidden="1" x14ac:dyDescent="0.3">
      <c r="A360" s="169"/>
      <c r="B360" s="169"/>
      <c r="C360" s="169"/>
      <c r="D360" s="169"/>
      <c r="E360" s="169"/>
      <c r="F360" s="169"/>
      <c r="G360" s="169"/>
      <c r="H360" s="169"/>
      <c r="I360" s="169"/>
      <c r="J360" s="169"/>
      <c r="K360" s="169"/>
      <c r="L360" s="169"/>
      <c r="M360" s="169"/>
      <c r="N360" s="169"/>
      <c r="O360" s="169"/>
      <c r="P360" s="169"/>
      <c r="Q360" s="169"/>
      <c r="R360" s="169"/>
      <c r="S360" s="169"/>
      <c r="T360" s="169"/>
      <c r="U360" s="169"/>
      <c r="V360" s="169"/>
      <c r="W360" s="169"/>
      <c r="X360" s="169"/>
      <c r="Y360" s="169"/>
      <c r="Z360" s="169"/>
      <c r="AA360" s="169"/>
      <c r="AB360" s="169"/>
      <c r="AC360" s="169"/>
    </row>
    <row r="361" spans="1:29" s="12" customFormat="1" hidden="1" x14ac:dyDescent="0.3">
      <c r="A361" s="169"/>
      <c r="B361" s="169"/>
      <c r="C361" s="169"/>
      <c r="D361" s="169"/>
      <c r="E361" s="169"/>
      <c r="F361" s="169"/>
      <c r="G361" s="169"/>
      <c r="H361" s="169"/>
      <c r="I361" s="169"/>
      <c r="J361" s="169"/>
      <c r="K361" s="169"/>
      <c r="L361" s="169"/>
      <c r="M361" s="169"/>
      <c r="N361" s="169"/>
      <c r="O361" s="169"/>
      <c r="P361" s="169"/>
      <c r="Q361" s="169"/>
      <c r="R361" s="169"/>
      <c r="S361" s="169"/>
      <c r="T361" s="169"/>
      <c r="U361" s="169"/>
      <c r="V361" s="169"/>
      <c r="W361" s="169"/>
      <c r="X361" s="169"/>
      <c r="Y361" s="169"/>
      <c r="Z361" s="169"/>
      <c r="AA361" s="169"/>
      <c r="AB361" s="169"/>
      <c r="AC361" s="169"/>
    </row>
    <row r="362" spans="1:29" s="12" customFormat="1" hidden="1" x14ac:dyDescent="0.3">
      <c r="A362" s="169"/>
      <c r="B362" s="169"/>
      <c r="C362" s="169"/>
      <c r="D362" s="169"/>
      <c r="E362" s="169"/>
      <c r="F362" s="169"/>
      <c r="G362" s="169"/>
      <c r="H362" s="169"/>
      <c r="I362" s="169"/>
      <c r="J362" s="169"/>
      <c r="K362" s="169"/>
      <c r="L362" s="169"/>
      <c r="M362" s="169"/>
      <c r="N362" s="169"/>
      <c r="O362" s="169"/>
      <c r="P362" s="169"/>
      <c r="Q362" s="169"/>
      <c r="R362" s="169"/>
      <c r="S362" s="169"/>
      <c r="T362" s="169"/>
      <c r="U362" s="169"/>
      <c r="V362" s="169"/>
      <c r="W362" s="169"/>
      <c r="X362" s="169"/>
      <c r="Y362" s="169"/>
      <c r="Z362" s="169"/>
      <c r="AA362" s="169"/>
      <c r="AB362" s="169"/>
      <c r="AC362" s="169"/>
    </row>
    <row r="363" spans="1:29" s="12" customFormat="1" hidden="1" x14ac:dyDescent="0.3">
      <c r="A363" s="169"/>
      <c r="B363" s="169"/>
      <c r="C363" s="169"/>
      <c r="D363" s="169"/>
      <c r="E363" s="169"/>
      <c r="F363" s="169"/>
      <c r="G363" s="169"/>
      <c r="H363" s="169"/>
      <c r="I363" s="169"/>
      <c r="J363" s="169"/>
      <c r="K363" s="169"/>
      <c r="L363" s="169"/>
      <c r="M363" s="169"/>
      <c r="N363" s="169"/>
      <c r="O363" s="169"/>
      <c r="P363" s="169"/>
      <c r="Q363" s="169"/>
      <c r="R363" s="169"/>
      <c r="S363" s="169"/>
      <c r="T363" s="169"/>
      <c r="U363" s="169"/>
      <c r="V363" s="169"/>
      <c r="W363" s="169"/>
      <c r="X363" s="169"/>
      <c r="Y363" s="169"/>
      <c r="Z363" s="169"/>
      <c r="AA363" s="169"/>
      <c r="AB363" s="169"/>
      <c r="AC363" s="169"/>
    </row>
    <row r="364" spans="1:29" s="12" customFormat="1" hidden="1" x14ac:dyDescent="0.3">
      <c r="A364" s="169"/>
      <c r="B364" s="169"/>
      <c r="C364" s="169"/>
      <c r="D364" s="169"/>
      <c r="E364" s="169"/>
      <c r="F364" s="169"/>
      <c r="G364" s="169"/>
      <c r="H364" s="169"/>
      <c r="I364" s="169"/>
      <c r="J364" s="169"/>
      <c r="K364" s="169"/>
      <c r="L364" s="169"/>
      <c r="M364" s="169"/>
      <c r="N364" s="169"/>
      <c r="O364" s="169"/>
      <c r="P364" s="169"/>
      <c r="Q364" s="169"/>
      <c r="R364" s="169"/>
      <c r="S364" s="169"/>
      <c r="T364" s="169"/>
      <c r="U364" s="169"/>
      <c r="V364" s="169"/>
      <c r="W364" s="169"/>
      <c r="X364" s="169"/>
      <c r="Y364" s="169"/>
      <c r="Z364" s="169"/>
      <c r="AA364" s="169"/>
      <c r="AB364" s="169"/>
      <c r="AC364" s="169"/>
    </row>
    <row r="365" spans="1:29" s="12" customFormat="1" hidden="1" x14ac:dyDescent="0.3">
      <c r="A365" s="169"/>
      <c r="B365" s="169"/>
      <c r="C365" s="169"/>
      <c r="D365" s="169"/>
      <c r="E365" s="169"/>
      <c r="F365" s="169"/>
      <c r="G365" s="169"/>
      <c r="H365" s="169"/>
      <c r="I365" s="169"/>
      <c r="J365" s="169"/>
      <c r="K365" s="169"/>
      <c r="L365" s="169"/>
      <c r="M365" s="169"/>
      <c r="N365" s="169"/>
      <c r="O365" s="169"/>
      <c r="P365" s="169"/>
      <c r="Q365" s="169"/>
      <c r="R365" s="169"/>
      <c r="S365" s="169"/>
      <c r="T365" s="169"/>
      <c r="U365" s="169"/>
      <c r="V365" s="169"/>
      <c r="W365" s="169"/>
      <c r="X365" s="169"/>
      <c r="Y365" s="169"/>
      <c r="Z365" s="169"/>
      <c r="AA365" s="169"/>
      <c r="AB365" s="169"/>
      <c r="AC365" s="169"/>
    </row>
    <row r="366" spans="1:29" s="12" customFormat="1" hidden="1" x14ac:dyDescent="0.3">
      <c r="A366" s="169"/>
      <c r="B366" s="169"/>
      <c r="C366" s="169"/>
      <c r="D366" s="169"/>
      <c r="E366" s="169"/>
      <c r="F366" s="169"/>
      <c r="G366" s="169"/>
      <c r="H366" s="169"/>
      <c r="I366" s="169"/>
      <c r="J366" s="169"/>
      <c r="K366" s="169"/>
      <c r="L366" s="169"/>
      <c r="M366" s="169"/>
      <c r="N366" s="169"/>
      <c r="O366" s="169"/>
      <c r="P366" s="169"/>
      <c r="Q366" s="169"/>
      <c r="R366" s="169"/>
      <c r="S366" s="169"/>
      <c r="T366" s="169"/>
      <c r="U366" s="169"/>
      <c r="V366" s="169"/>
      <c r="W366" s="169"/>
      <c r="X366" s="169"/>
      <c r="Y366" s="169"/>
      <c r="Z366" s="169"/>
      <c r="AA366" s="169"/>
      <c r="AB366" s="169"/>
      <c r="AC366" s="169"/>
    </row>
    <row r="367" spans="1:29" s="12" customFormat="1" hidden="1" x14ac:dyDescent="0.3">
      <c r="A367" s="169"/>
      <c r="B367" s="169"/>
      <c r="C367" s="169"/>
      <c r="D367" s="169"/>
      <c r="E367" s="169"/>
      <c r="F367" s="169"/>
      <c r="G367" s="169"/>
      <c r="H367" s="169"/>
      <c r="I367" s="169"/>
      <c r="J367" s="169"/>
      <c r="K367" s="169"/>
      <c r="L367" s="169"/>
      <c r="M367" s="169"/>
      <c r="N367" s="169"/>
      <c r="O367" s="169"/>
      <c r="P367" s="169"/>
      <c r="Q367" s="169"/>
      <c r="R367" s="169"/>
      <c r="S367" s="169"/>
      <c r="T367" s="169"/>
      <c r="U367" s="169"/>
      <c r="V367" s="169"/>
      <c r="W367" s="169"/>
      <c r="X367" s="169"/>
      <c r="Y367" s="169"/>
      <c r="Z367" s="169"/>
      <c r="AA367" s="169"/>
      <c r="AB367" s="169"/>
      <c r="AC367" s="169"/>
    </row>
    <row r="368" spans="1:29" s="12" customFormat="1" hidden="1" x14ac:dyDescent="0.3">
      <c r="A368" s="169"/>
      <c r="B368" s="169"/>
      <c r="C368" s="169"/>
      <c r="D368" s="169"/>
      <c r="E368" s="169"/>
      <c r="F368" s="169"/>
      <c r="G368" s="169"/>
      <c r="H368" s="169"/>
      <c r="I368" s="169"/>
      <c r="J368" s="169"/>
      <c r="K368" s="169"/>
      <c r="L368" s="169"/>
      <c r="M368" s="169"/>
      <c r="N368" s="169"/>
      <c r="O368" s="169"/>
      <c r="P368" s="169"/>
      <c r="Q368" s="169"/>
      <c r="R368" s="169"/>
      <c r="S368" s="169"/>
      <c r="T368" s="169"/>
      <c r="U368" s="169"/>
      <c r="V368" s="169"/>
      <c r="W368" s="169"/>
      <c r="X368" s="169"/>
      <c r="Y368" s="169"/>
      <c r="Z368" s="169"/>
      <c r="AA368" s="169"/>
      <c r="AB368" s="169"/>
      <c r="AC368" s="169"/>
    </row>
    <row r="369" spans="1:29" s="12" customFormat="1" hidden="1" x14ac:dyDescent="0.3">
      <c r="A369" s="169"/>
      <c r="B369" s="169"/>
      <c r="C369" s="169"/>
      <c r="D369" s="169"/>
      <c r="E369" s="169"/>
      <c r="F369" s="169"/>
      <c r="G369" s="169"/>
      <c r="H369" s="169"/>
      <c r="I369" s="169"/>
      <c r="J369" s="169"/>
      <c r="K369" s="169"/>
      <c r="L369" s="169"/>
      <c r="M369" s="169"/>
      <c r="N369" s="169"/>
      <c r="O369" s="169"/>
      <c r="P369" s="169"/>
      <c r="Q369" s="169"/>
      <c r="R369" s="169"/>
      <c r="S369" s="169"/>
      <c r="T369" s="169"/>
      <c r="U369" s="169"/>
      <c r="V369" s="169"/>
      <c r="W369" s="169"/>
      <c r="X369" s="169"/>
      <c r="Y369" s="169"/>
      <c r="Z369" s="169"/>
      <c r="AA369" s="169"/>
      <c r="AB369" s="169"/>
      <c r="AC369" s="169"/>
    </row>
    <row r="370" spans="1:29" s="12" customFormat="1" hidden="1" x14ac:dyDescent="0.3">
      <c r="A370" s="169"/>
      <c r="B370" s="169"/>
      <c r="C370" s="169"/>
      <c r="D370" s="169"/>
      <c r="E370" s="169"/>
      <c r="F370" s="169"/>
      <c r="G370" s="169"/>
      <c r="H370" s="169"/>
      <c r="I370" s="169"/>
      <c r="J370" s="169"/>
      <c r="K370" s="169"/>
      <c r="L370" s="169"/>
      <c r="M370" s="169"/>
      <c r="N370" s="169"/>
      <c r="O370" s="169"/>
      <c r="P370" s="169"/>
      <c r="Q370" s="169"/>
      <c r="R370" s="169"/>
      <c r="S370" s="169"/>
      <c r="T370" s="169"/>
      <c r="U370" s="169"/>
      <c r="V370" s="169"/>
      <c r="W370" s="169"/>
      <c r="X370" s="169"/>
      <c r="Y370" s="169"/>
      <c r="Z370" s="169"/>
      <c r="AA370" s="169"/>
      <c r="AB370" s="169"/>
      <c r="AC370" s="169"/>
    </row>
    <row r="371" spans="1:29" s="12" customFormat="1" hidden="1" x14ac:dyDescent="0.3">
      <c r="A371" s="169"/>
      <c r="B371" s="169"/>
      <c r="C371" s="169"/>
      <c r="D371" s="169"/>
      <c r="E371" s="169"/>
      <c r="F371" s="169"/>
      <c r="G371" s="169"/>
      <c r="H371" s="169"/>
      <c r="I371" s="169"/>
      <c r="J371" s="169"/>
      <c r="K371" s="169"/>
      <c r="L371" s="169"/>
      <c r="M371" s="169"/>
      <c r="N371" s="169"/>
      <c r="O371" s="169"/>
      <c r="P371" s="169"/>
      <c r="Q371" s="169"/>
      <c r="R371" s="169"/>
      <c r="S371" s="169"/>
      <c r="T371" s="169"/>
      <c r="U371" s="169"/>
      <c r="V371" s="169"/>
      <c r="W371" s="169"/>
      <c r="X371" s="169"/>
      <c r="Y371" s="169"/>
      <c r="Z371" s="169"/>
      <c r="AA371" s="169"/>
      <c r="AB371" s="169"/>
      <c r="AC371" s="169"/>
    </row>
    <row r="372" spans="1:29" s="12" customFormat="1" hidden="1" x14ac:dyDescent="0.3">
      <c r="A372" s="169"/>
      <c r="B372" s="169"/>
      <c r="C372" s="169"/>
      <c r="D372" s="169"/>
      <c r="E372" s="169"/>
      <c r="F372" s="169"/>
      <c r="G372" s="169"/>
      <c r="H372" s="169"/>
      <c r="I372" s="169"/>
      <c r="J372" s="169"/>
      <c r="K372" s="169"/>
      <c r="L372" s="169"/>
      <c r="M372" s="169"/>
      <c r="N372" s="169"/>
      <c r="O372" s="169"/>
      <c r="P372" s="169"/>
      <c r="Q372" s="169"/>
      <c r="R372" s="169"/>
      <c r="S372" s="169"/>
      <c r="T372" s="169"/>
      <c r="U372" s="169"/>
      <c r="V372" s="169"/>
      <c r="W372" s="169"/>
      <c r="X372" s="169"/>
      <c r="Y372" s="169"/>
      <c r="Z372" s="169"/>
      <c r="AA372" s="169"/>
      <c r="AB372" s="169"/>
      <c r="AC372" s="169"/>
    </row>
    <row r="373" spans="1:29" s="12" customFormat="1" hidden="1" x14ac:dyDescent="0.3">
      <c r="A373" s="169"/>
      <c r="B373" s="169"/>
      <c r="C373" s="169"/>
      <c r="D373" s="169"/>
      <c r="E373" s="169"/>
      <c r="F373" s="169"/>
      <c r="G373" s="169"/>
      <c r="H373" s="169"/>
      <c r="I373" s="169"/>
      <c r="J373" s="169"/>
      <c r="K373" s="169"/>
      <c r="L373" s="169"/>
      <c r="M373" s="169"/>
      <c r="N373" s="169"/>
      <c r="O373" s="169"/>
      <c r="P373" s="169"/>
      <c r="Q373" s="169"/>
      <c r="R373" s="169"/>
      <c r="S373" s="169"/>
      <c r="T373" s="169"/>
      <c r="U373" s="169"/>
      <c r="V373" s="169"/>
      <c r="W373" s="169"/>
      <c r="X373" s="169"/>
      <c r="Y373" s="169"/>
      <c r="Z373" s="169"/>
      <c r="AA373" s="169"/>
      <c r="AB373" s="169"/>
      <c r="AC373" s="169"/>
    </row>
    <row r="374" spans="1:29" s="12" customFormat="1" hidden="1" x14ac:dyDescent="0.3">
      <c r="A374" s="169"/>
      <c r="B374" s="169"/>
      <c r="C374" s="169"/>
      <c r="D374" s="169"/>
      <c r="E374" s="169"/>
      <c r="F374" s="169"/>
      <c r="G374" s="169"/>
      <c r="H374" s="169"/>
      <c r="I374" s="169"/>
      <c r="J374" s="169"/>
      <c r="K374" s="169"/>
      <c r="L374" s="169"/>
      <c r="M374" s="169"/>
      <c r="N374" s="169"/>
      <c r="O374" s="169"/>
      <c r="P374" s="169"/>
      <c r="Q374" s="169"/>
      <c r="R374" s="169"/>
      <c r="S374" s="169"/>
      <c r="T374" s="169"/>
      <c r="U374" s="169"/>
      <c r="V374" s="169"/>
      <c r="W374" s="169"/>
      <c r="X374" s="169"/>
      <c r="Y374" s="169"/>
      <c r="Z374" s="169"/>
      <c r="AA374" s="169"/>
      <c r="AB374" s="169"/>
      <c r="AC374" s="169"/>
    </row>
    <row r="375" spans="1:29" s="12" customFormat="1" hidden="1" x14ac:dyDescent="0.3">
      <c r="A375" s="169"/>
      <c r="B375" s="169"/>
      <c r="C375" s="169"/>
      <c r="D375" s="169"/>
      <c r="E375" s="169"/>
      <c r="F375" s="169"/>
      <c r="G375" s="169"/>
      <c r="H375" s="169"/>
      <c r="I375" s="169"/>
      <c r="J375" s="169"/>
      <c r="K375" s="169"/>
      <c r="L375" s="169"/>
      <c r="M375" s="169"/>
      <c r="N375" s="169"/>
      <c r="O375" s="169"/>
      <c r="P375" s="169"/>
      <c r="Q375" s="169"/>
      <c r="R375" s="169"/>
      <c r="S375" s="169"/>
      <c r="T375" s="169"/>
      <c r="U375" s="169"/>
      <c r="V375" s="169"/>
      <c r="W375" s="169"/>
      <c r="X375" s="169"/>
      <c r="Y375" s="169"/>
      <c r="Z375" s="169"/>
      <c r="AA375" s="169"/>
      <c r="AB375" s="169"/>
      <c r="AC375" s="169"/>
    </row>
    <row r="376" spans="1:29" s="12" customFormat="1" hidden="1" x14ac:dyDescent="0.3">
      <c r="A376" s="169"/>
      <c r="B376" s="169"/>
      <c r="C376" s="169"/>
      <c r="D376" s="169"/>
      <c r="E376" s="169"/>
      <c r="F376" s="169"/>
      <c r="G376" s="169"/>
      <c r="H376" s="169"/>
      <c r="I376" s="169"/>
      <c r="J376" s="169"/>
      <c r="K376" s="169"/>
      <c r="L376" s="169"/>
      <c r="M376" s="169"/>
      <c r="N376" s="169"/>
      <c r="O376" s="169"/>
      <c r="P376" s="169"/>
      <c r="Q376" s="169"/>
      <c r="R376" s="169"/>
      <c r="S376" s="169"/>
      <c r="T376" s="169"/>
      <c r="U376" s="169"/>
      <c r="V376" s="169"/>
      <c r="W376" s="169"/>
      <c r="X376" s="169"/>
      <c r="Y376" s="169"/>
      <c r="Z376" s="169"/>
      <c r="AA376" s="169"/>
      <c r="AB376" s="169"/>
      <c r="AC376" s="169"/>
    </row>
    <row r="377" spans="1:29" s="12" customFormat="1" hidden="1" x14ac:dyDescent="0.3">
      <c r="A377" s="169"/>
      <c r="B377" s="169"/>
      <c r="C377" s="169"/>
      <c r="D377" s="169"/>
      <c r="E377" s="169"/>
      <c r="F377" s="169"/>
      <c r="G377" s="169"/>
      <c r="H377" s="169"/>
      <c r="I377" s="169"/>
      <c r="J377" s="169"/>
      <c r="K377" s="169"/>
      <c r="L377" s="169"/>
      <c r="M377" s="169"/>
      <c r="N377" s="169"/>
      <c r="O377" s="169"/>
      <c r="P377" s="169"/>
      <c r="Q377" s="169"/>
      <c r="R377" s="169"/>
      <c r="S377" s="169"/>
      <c r="T377" s="169"/>
      <c r="U377" s="169"/>
      <c r="V377" s="169"/>
      <c r="W377" s="169"/>
      <c r="X377" s="169"/>
      <c r="Y377" s="169"/>
      <c r="Z377" s="169"/>
      <c r="AA377" s="169"/>
      <c r="AB377" s="169"/>
      <c r="AC377" s="169"/>
    </row>
    <row r="378" spans="1:29" s="12" customFormat="1" hidden="1" x14ac:dyDescent="0.3">
      <c r="A378" s="169"/>
      <c r="B378" s="169"/>
      <c r="C378" s="169"/>
      <c r="D378" s="169"/>
      <c r="E378" s="169"/>
      <c r="F378" s="169"/>
      <c r="G378" s="169"/>
      <c r="H378" s="169"/>
      <c r="I378" s="169"/>
      <c r="J378" s="169"/>
      <c r="K378" s="169"/>
      <c r="L378" s="169"/>
      <c r="M378" s="169"/>
      <c r="N378" s="169"/>
      <c r="O378" s="169"/>
      <c r="P378" s="169"/>
      <c r="Q378" s="169"/>
      <c r="R378" s="169"/>
      <c r="S378" s="169"/>
      <c r="T378" s="169"/>
      <c r="U378" s="169"/>
      <c r="V378" s="169"/>
      <c r="W378" s="169"/>
      <c r="X378" s="169"/>
      <c r="Y378" s="169"/>
      <c r="Z378" s="169"/>
      <c r="AA378" s="169"/>
      <c r="AB378" s="169"/>
      <c r="AC378" s="169"/>
    </row>
    <row r="379" spans="1:29" s="12" customFormat="1" hidden="1" x14ac:dyDescent="0.3">
      <c r="A379" s="169"/>
      <c r="B379" s="169"/>
      <c r="C379" s="169"/>
      <c r="D379" s="169"/>
      <c r="E379" s="169"/>
      <c r="F379" s="169"/>
      <c r="G379" s="169"/>
      <c r="H379" s="169"/>
      <c r="I379" s="169"/>
      <c r="J379" s="169"/>
      <c r="K379" s="169"/>
      <c r="L379" s="169"/>
      <c r="M379" s="169"/>
      <c r="N379" s="169"/>
      <c r="O379" s="169"/>
      <c r="P379" s="169"/>
      <c r="Q379" s="169"/>
      <c r="R379" s="169"/>
      <c r="S379" s="169"/>
      <c r="T379" s="169"/>
      <c r="U379" s="169"/>
      <c r="V379" s="169"/>
      <c r="W379" s="169"/>
      <c r="X379" s="169"/>
      <c r="Y379" s="169"/>
      <c r="Z379" s="169"/>
      <c r="AA379" s="169"/>
      <c r="AB379" s="169"/>
      <c r="AC379" s="169"/>
    </row>
    <row r="380" spans="1:29" s="12" customFormat="1" hidden="1" x14ac:dyDescent="0.3">
      <c r="A380" s="169"/>
      <c r="B380" s="169"/>
      <c r="C380" s="169"/>
      <c r="D380" s="169"/>
      <c r="E380" s="169"/>
      <c r="F380" s="169"/>
      <c r="G380" s="169"/>
      <c r="H380" s="169"/>
      <c r="I380" s="169"/>
      <c r="J380" s="169"/>
      <c r="K380" s="169"/>
      <c r="L380" s="169"/>
      <c r="M380" s="169"/>
      <c r="N380" s="169"/>
      <c r="O380" s="169"/>
      <c r="P380" s="169"/>
      <c r="Q380" s="169"/>
      <c r="R380" s="169"/>
      <c r="S380" s="169"/>
      <c r="T380" s="169"/>
      <c r="U380" s="169"/>
      <c r="V380" s="169"/>
      <c r="W380" s="169"/>
      <c r="X380" s="169"/>
      <c r="Y380" s="169"/>
      <c r="Z380" s="169"/>
      <c r="AA380" s="169"/>
      <c r="AB380" s="169"/>
      <c r="AC380" s="169"/>
    </row>
    <row r="381" spans="1:29" s="12" customFormat="1" hidden="1" x14ac:dyDescent="0.3">
      <c r="A381" s="169"/>
      <c r="B381" s="169"/>
      <c r="C381" s="169"/>
      <c r="D381" s="169"/>
      <c r="E381" s="169"/>
      <c r="F381" s="169"/>
      <c r="G381" s="169"/>
      <c r="H381" s="169"/>
      <c r="I381" s="169"/>
      <c r="J381" s="169"/>
      <c r="K381" s="169"/>
      <c r="L381" s="169"/>
      <c r="M381" s="169"/>
      <c r="N381" s="169"/>
      <c r="O381" s="169"/>
      <c r="P381" s="169"/>
      <c r="Q381" s="169"/>
      <c r="R381" s="169"/>
      <c r="S381" s="169"/>
      <c r="T381" s="169"/>
      <c r="U381" s="169"/>
      <c r="V381" s="169"/>
      <c r="W381" s="169"/>
      <c r="X381" s="169"/>
      <c r="Y381" s="169"/>
      <c r="Z381" s="169"/>
      <c r="AA381" s="169"/>
      <c r="AB381" s="169"/>
      <c r="AC381" s="169"/>
    </row>
    <row r="382" spans="1:29" s="12" customFormat="1" hidden="1" x14ac:dyDescent="0.3">
      <c r="A382" s="169"/>
      <c r="B382" s="169"/>
      <c r="C382" s="169"/>
      <c r="D382" s="169"/>
      <c r="E382" s="169"/>
      <c r="F382" s="169"/>
      <c r="G382" s="169"/>
      <c r="H382" s="169"/>
      <c r="I382" s="169"/>
      <c r="J382" s="169"/>
      <c r="K382" s="169"/>
      <c r="L382" s="169"/>
      <c r="M382" s="169"/>
      <c r="N382" s="169"/>
      <c r="O382" s="169"/>
      <c r="P382" s="169"/>
      <c r="Q382" s="169"/>
      <c r="R382" s="169"/>
      <c r="S382" s="169"/>
      <c r="T382" s="169"/>
      <c r="U382" s="169"/>
      <c r="V382" s="169"/>
      <c r="W382" s="169"/>
      <c r="X382" s="169"/>
      <c r="Y382" s="169"/>
      <c r="Z382" s="169"/>
      <c r="AA382" s="169"/>
      <c r="AB382" s="169"/>
      <c r="AC382" s="169"/>
    </row>
    <row r="383" spans="1:29" s="12" customFormat="1" hidden="1" x14ac:dyDescent="0.3">
      <c r="A383" s="169"/>
      <c r="B383" s="169"/>
      <c r="C383" s="169"/>
      <c r="D383" s="169"/>
      <c r="E383" s="169"/>
      <c r="F383" s="169"/>
      <c r="G383" s="169"/>
      <c r="H383" s="169"/>
      <c r="I383" s="169"/>
      <c r="J383" s="169"/>
      <c r="K383" s="169"/>
      <c r="L383" s="169"/>
      <c r="M383" s="169"/>
      <c r="N383" s="169"/>
      <c r="O383" s="169"/>
      <c r="P383" s="169"/>
      <c r="Q383" s="169"/>
      <c r="R383" s="169"/>
      <c r="S383" s="169"/>
      <c r="T383" s="169"/>
      <c r="U383" s="169"/>
      <c r="V383" s="169"/>
      <c r="W383" s="169"/>
      <c r="X383" s="169"/>
      <c r="Y383" s="169"/>
      <c r="Z383" s="169"/>
      <c r="AA383" s="169"/>
      <c r="AB383" s="169"/>
      <c r="AC383" s="169"/>
    </row>
    <row r="384" spans="1:29" s="12" customFormat="1" hidden="1" x14ac:dyDescent="0.3">
      <c r="A384" s="169"/>
      <c r="B384" s="169"/>
      <c r="C384" s="169"/>
      <c r="D384" s="169"/>
      <c r="E384" s="169"/>
      <c r="F384" s="169"/>
      <c r="G384" s="169"/>
      <c r="H384" s="169"/>
      <c r="I384" s="169"/>
      <c r="J384" s="169"/>
      <c r="K384" s="169"/>
      <c r="L384" s="169"/>
      <c r="M384" s="169"/>
      <c r="N384" s="169"/>
      <c r="O384" s="169"/>
      <c r="P384" s="169"/>
      <c r="Q384" s="169"/>
      <c r="R384" s="169"/>
      <c r="S384" s="169"/>
      <c r="T384" s="169"/>
      <c r="U384" s="169"/>
      <c r="V384" s="169"/>
      <c r="W384" s="169"/>
      <c r="X384" s="169"/>
      <c r="Y384" s="169"/>
      <c r="Z384" s="169"/>
      <c r="AA384" s="169"/>
      <c r="AB384" s="169"/>
      <c r="AC384" s="169"/>
    </row>
    <row r="385" spans="1:29" s="12" customFormat="1" hidden="1" x14ac:dyDescent="0.3">
      <c r="A385" s="169"/>
      <c r="B385" s="169"/>
      <c r="C385" s="169"/>
      <c r="D385" s="169"/>
      <c r="E385" s="169"/>
      <c r="F385" s="169"/>
      <c r="G385" s="169"/>
      <c r="H385" s="169"/>
      <c r="I385" s="169"/>
      <c r="J385" s="169"/>
      <c r="K385" s="169"/>
      <c r="L385" s="169"/>
      <c r="M385" s="169"/>
      <c r="N385" s="169"/>
      <c r="O385" s="169"/>
      <c r="P385" s="169"/>
      <c r="Q385" s="169"/>
      <c r="R385" s="169"/>
      <c r="S385" s="169"/>
      <c r="T385" s="169"/>
      <c r="U385" s="169"/>
      <c r="V385" s="169"/>
      <c r="W385" s="169"/>
      <c r="X385" s="169"/>
      <c r="Y385" s="169"/>
      <c r="Z385" s="169"/>
      <c r="AA385" s="169"/>
      <c r="AB385" s="169"/>
      <c r="AC385" s="169"/>
    </row>
    <row r="386" spans="1:29" s="12" customFormat="1" hidden="1" x14ac:dyDescent="0.3">
      <c r="A386" s="169"/>
      <c r="B386" s="169"/>
      <c r="C386" s="169"/>
      <c r="D386" s="169"/>
      <c r="E386" s="169"/>
      <c r="F386" s="169"/>
      <c r="G386" s="169"/>
      <c r="H386" s="169"/>
      <c r="I386" s="169"/>
      <c r="J386" s="169"/>
      <c r="K386" s="169"/>
      <c r="L386" s="169"/>
      <c r="M386" s="169"/>
      <c r="N386" s="169"/>
      <c r="O386" s="169"/>
      <c r="P386" s="169"/>
      <c r="Q386" s="169"/>
      <c r="R386" s="169"/>
      <c r="S386" s="169"/>
      <c r="T386" s="169"/>
      <c r="U386" s="169"/>
      <c r="V386" s="169"/>
      <c r="W386" s="169"/>
      <c r="X386" s="169"/>
      <c r="Y386" s="169"/>
      <c r="Z386" s="169"/>
      <c r="AA386" s="169"/>
      <c r="AB386" s="169"/>
      <c r="AC386" s="169"/>
    </row>
    <row r="387" spans="1:29" s="12" customFormat="1" hidden="1" x14ac:dyDescent="0.3">
      <c r="A387" s="169"/>
      <c r="B387" s="169"/>
      <c r="C387" s="169"/>
      <c r="D387" s="169"/>
      <c r="E387" s="169"/>
      <c r="F387" s="169"/>
      <c r="G387" s="169"/>
      <c r="H387" s="169"/>
      <c r="I387" s="169"/>
      <c r="J387" s="169"/>
      <c r="K387" s="169"/>
      <c r="L387" s="169"/>
      <c r="M387" s="169"/>
      <c r="N387" s="169"/>
      <c r="O387" s="169"/>
      <c r="P387" s="169"/>
      <c r="Q387" s="169"/>
      <c r="R387" s="169"/>
      <c r="S387" s="169"/>
      <c r="T387" s="169"/>
      <c r="U387" s="169"/>
      <c r="V387" s="169"/>
      <c r="W387" s="169"/>
      <c r="X387" s="169"/>
      <c r="Y387" s="169"/>
      <c r="Z387" s="169"/>
      <c r="AA387" s="169"/>
      <c r="AB387" s="169"/>
      <c r="AC387" s="169"/>
    </row>
    <row r="388" spans="1:29" s="12" customFormat="1" hidden="1" x14ac:dyDescent="0.3">
      <c r="A388" s="169"/>
      <c r="B388" s="169"/>
      <c r="C388" s="169"/>
      <c r="D388" s="169"/>
      <c r="E388" s="169"/>
      <c r="F388" s="169"/>
      <c r="G388" s="169"/>
      <c r="H388" s="169"/>
      <c r="I388" s="169"/>
      <c r="J388" s="169"/>
      <c r="K388" s="169"/>
      <c r="L388" s="169"/>
      <c r="M388" s="169"/>
      <c r="N388" s="169"/>
      <c r="O388" s="169"/>
      <c r="P388" s="169"/>
      <c r="Q388" s="169"/>
      <c r="R388" s="169"/>
      <c r="S388" s="169"/>
      <c r="T388" s="169"/>
      <c r="U388" s="169"/>
      <c r="V388" s="169"/>
      <c r="W388" s="169"/>
      <c r="X388" s="169"/>
      <c r="Y388" s="169"/>
      <c r="Z388" s="169"/>
      <c r="AA388" s="169"/>
      <c r="AB388" s="169"/>
      <c r="AC388" s="169"/>
    </row>
    <row r="389" spans="1:29" s="12" customFormat="1" hidden="1" x14ac:dyDescent="0.3">
      <c r="A389" s="169"/>
      <c r="B389" s="169"/>
      <c r="C389" s="169"/>
      <c r="D389" s="169"/>
      <c r="E389" s="169"/>
      <c r="F389" s="169"/>
      <c r="G389" s="169"/>
      <c r="H389" s="169"/>
      <c r="I389" s="169"/>
      <c r="J389" s="169"/>
      <c r="K389" s="169"/>
      <c r="L389" s="169"/>
      <c r="M389" s="169"/>
      <c r="N389" s="169"/>
      <c r="O389" s="169"/>
      <c r="P389" s="169"/>
      <c r="Q389" s="169"/>
      <c r="R389" s="169"/>
      <c r="S389" s="169"/>
      <c r="T389" s="169"/>
      <c r="U389" s="169"/>
      <c r="V389" s="169"/>
      <c r="W389" s="169"/>
      <c r="X389" s="169"/>
      <c r="Y389" s="169"/>
      <c r="Z389" s="169"/>
      <c r="AA389" s="169"/>
      <c r="AB389" s="169"/>
      <c r="AC389" s="169"/>
    </row>
    <row r="390" spans="1:29" s="12" customFormat="1" hidden="1" x14ac:dyDescent="0.3">
      <c r="A390" s="169"/>
      <c r="B390" s="169"/>
      <c r="C390" s="169"/>
      <c r="D390" s="169"/>
      <c r="E390" s="169"/>
      <c r="F390" s="169"/>
      <c r="G390" s="169"/>
      <c r="H390" s="169"/>
      <c r="I390" s="169"/>
      <c r="J390" s="169"/>
      <c r="K390" s="169"/>
      <c r="L390" s="169"/>
      <c r="M390" s="169"/>
      <c r="N390" s="169"/>
      <c r="O390" s="169"/>
      <c r="P390" s="169"/>
      <c r="Q390" s="169"/>
      <c r="R390" s="169"/>
      <c r="S390" s="169"/>
      <c r="T390" s="169"/>
      <c r="U390" s="169"/>
      <c r="V390" s="169"/>
      <c r="W390" s="169"/>
      <c r="X390" s="169"/>
      <c r="Y390" s="169"/>
      <c r="Z390" s="169"/>
      <c r="AA390" s="169"/>
      <c r="AB390" s="169"/>
      <c r="AC390" s="169"/>
    </row>
    <row r="391" spans="1:29" s="12" customFormat="1" hidden="1" x14ac:dyDescent="0.3">
      <c r="A391" s="169"/>
      <c r="B391" s="169"/>
      <c r="C391" s="169"/>
      <c r="D391" s="169"/>
      <c r="E391" s="169"/>
      <c r="F391" s="169"/>
      <c r="G391" s="169"/>
      <c r="H391" s="169"/>
      <c r="I391" s="169"/>
      <c r="J391" s="169"/>
      <c r="K391" s="169"/>
      <c r="L391" s="169"/>
      <c r="M391" s="169"/>
      <c r="N391" s="169"/>
      <c r="O391" s="169"/>
      <c r="P391" s="169"/>
      <c r="Q391" s="169"/>
      <c r="R391" s="169"/>
      <c r="S391" s="169"/>
      <c r="T391" s="169"/>
      <c r="U391" s="169"/>
      <c r="V391" s="169"/>
      <c r="W391" s="169"/>
      <c r="X391" s="169"/>
      <c r="Y391" s="169"/>
      <c r="Z391" s="169"/>
      <c r="AA391" s="169"/>
      <c r="AB391" s="169"/>
      <c r="AC391" s="169"/>
    </row>
    <row r="392" spans="1:29" s="12" customFormat="1" hidden="1" x14ac:dyDescent="0.3">
      <c r="A392" s="169"/>
      <c r="B392" s="169"/>
      <c r="C392" s="169"/>
      <c r="D392" s="169"/>
      <c r="E392" s="169"/>
      <c r="F392" s="169"/>
      <c r="G392" s="169"/>
      <c r="H392" s="169"/>
      <c r="I392" s="169"/>
      <c r="J392" s="169"/>
      <c r="K392" s="169"/>
      <c r="L392" s="169"/>
      <c r="M392" s="169"/>
      <c r="N392" s="169"/>
      <c r="O392" s="169"/>
      <c r="P392" s="169"/>
      <c r="Q392" s="169"/>
      <c r="R392" s="169"/>
      <c r="S392" s="169"/>
      <c r="T392" s="169"/>
      <c r="U392" s="169"/>
      <c r="V392" s="169"/>
      <c r="W392" s="169"/>
      <c r="X392" s="169"/>
      <c r="Y392" s="169"/>
      <c r="Z392" s="169"/>
      <c r="AA392" s="169"/>
      <c r="AB392" s="169"/>
      <c r="AC392" s="169"/>
    </row>
    <row r="393" spans="1:29" s="12" customFormat="1" hidden="1" x14ac:dyDescent="0.3">
      <c r="A393" s="169"/>
      <c r="B393" s="169"/>
      <c r="C393" s="169"/>
      <c r="D393" s="169"/>
      <c r="E393" s="169"/>
      <c r="F393" s="169"/>
      <c r="G393" s="169"/>
      <c r="H393" s="169"/>
      <c r="I393" s="169"/>
      <c r="J393" s="169"/>
      <c r="K393" s="169"/>
      <c r="L393" s="169"/>
      <c r="M393" s="169"/>
      <c r="N393" s="169"/>
      <c r="O393" s="169"/>
      <c r="P393" s="169"/>
      <c r="Q393" s="169"/>
      <c r="R393" s="169"/>
      <c r="S393" s="169"/>
      <c r="T393" s="169"/>
      <c r="U393" s="169"/>
      <c r="V393" s="169"/>
      <c r="W393" s="169"/>
      <c r="X393" s="169"/>
      <c r="Y393" s="169"/>
      <c r="Z393" s="169"/>
      <c r="AA393" s="169"/>
      <c r="AB393" s="169"/>
      <c r="AC393" s="169"/>
    </row>
    <row r="394" spans="1:29" s="12" customFormat="1" hidden="1" x14ac:dyDescent="0.3">
      <c r="A394" s="169"/>
      <c r="B394" s="169"/>
      <c r="C394" s="169"/>
      <c r="D394" s="169"/>
      <c r="E394" s="169"/>
      <c r="F394" s="169"/>
      <c r="G394" s="169"/>
      <c r="H394" s="169"/>
      <c r="I394" s="169"/>
      <c r="J394" s="169"/>
      <c r="K394" s="169"/>
      <c r="L394" s="169"/>
      <c r="M394" s="169"/>
      <c r="N394" s="169"/>
      <c r="O394" s="169"/>
      <c r="P394" s="169"/>
      <c r="Q394" s="169"/>
      <c r="R394" s="169"/>
      <c r="S394" s="169"/>
      <c r="T394" s="169"/>
      <c r="U394" s="169"/>
      <c r="V394" s="169"/>
      <c r="W394" s="169"/>
      <c r="X394" s="169"/>
      <c r="Y394" s="169"/>
      <c r="Z394" s="169"/>
      <c r="AA394" s="169"/>
      <c r="AB394" s="169"/>
      <c r="AC394" s="169"/>
    </row>
    <row r="395" spans="1:29" s="12" customFormat="1" hidden="1" x14ac:dyDescent="0.3">
      <c r="A395" s="169"/>
      <c r="B395" s="169"/>
      <c r="C395" s="169"/>
      <c r="D395" s="169"/>
      <c r="E395" s="169"/>
      <c r="F395" s="169"/>
      <c r="G395" s="169"/>
      <c r="H395" s="169"/>
      <c r="I395" s="169"/>
      <c r="J395" s="169"/>
      <c r="K395" s="169"/>
      <c r="L395" s="169"/>
      <c r="M395" s="169"/>
      <c r="N395" s="169"/>
      <c r="O395" s="169"/>
      <c r="P395" s="169"/>
      <c r="Q395" s="169"/>
      <c r="R395" s="169"/>
      <c r="S395" s="169"/>
      <c r="T395" s="169"/>
      <c r="U395" s="169"/>
      <c r="V395" s="169"/>
      <c r="W395" s="169"/>
      <c r="X395" s="169"/>
      <c r="Y395" s="169"/>
      <c r="Z395" s="169"/>
      <c r="AA395" s="169"/>
      <c r="AB395" s="169"/>
      <c r="AC395" s="169"/>
    </row>
    <row r="396" spans="1:29" s="12" customFormat="1" hidden="1" x14ac:dyDescent="0.3">
      <c r="A396" s="169"/>
      <c r="B396" s="169"/>
      <c r="C396" s="169"/>
      <c r="D396" s="169"/>
      <c r="E396" s="169"/>
      <c r="F396" s="169"/>
      <c r="G396" s="169"/>
      <c r="H396" s="169"/>
      <c r="I396" s="169"/>
      <c r="J396" s="169"/>
      <c r="K396" s="169"/>
      <c r="L396" s="169"/>
      <c r="M396" s="169"/>
      <c r="N396" s="169"/>
      <c r="O396" s="169"/>
      <c r="P396" s="169"/>
      <c r="Q396" s="169"/>
      <c r="R396" s="169"/>
      <c r="S396" s="169"/>
      <c r="T396" s="169"/>
      <c r="U396" s="169"/>
      <c r="V396" s="169"/>
      <c r="W396" s="169"/>
      <c r="X396" s="169"/>
      <c r="Y396" s="169"/>
      <c r="Z396" s="169"/>
      <c r="AA396" s="169"/>
      <c r="AB396" s="169"/>
      <c r="AC396" s="169"/>
    </row>
    <row r="397" spans="1:29" s="12" customFormat="1" hidden="1" x14ac:dyDescent="0.3">
      <c r="A397" s="169"/>
      <c r="B397" s="169"/>
      <c r="C397" s="169"/>
      <c r="D397" s="169"/>
      <c r="E397" s="169"/>
      <c r="F397" s="169"/>
      <c r="G397" s="169"/>
      <c r="H397" s="169"/>
      <c r="I397" s="169"/>
      <c r="J397" s="169"/>
      <c r="K397" s="169"/>
      <c r="L397" s="169"/>
      <c r="M397" s="169"/>
      <c r="N397" s="169"/>
      <c r="O397" s="169"/>
      <c r="P397" s="169"/>
      <c r="Q397" s="169"/>
      <c r="R397" s="169"/>
      <c r="S397" s="169"/>
      <c r="T397" s="169"/>
      <c r="U397" s="169"/>
      <c r="V397" s="169"/>
      <c r="W397" s="169"/>
      <c r="X397" s="169"/>
      <c r="Y397" s="169"/>
      <c r="Z397" s="169"/>
      <c r="AA397" s="169"/>
      <c r="AB397" s="169"/>
      <c r="AC397" s="169"/>
    </row>
    <row r="398" spans="1:29" s="12" customFormat="1" hidden="1" x14ac:dyDescent="0.3">
      <c r="A398" s="169"/>
      <c r="B398" s="169"/>
      <c r="C398" s="169"/>
      <c r="D398" s="169"/>
      <c r="E398" s="169"/>
      <c r="F398" s="169"/>
      <c r="G398" s="169"/>
      <c r="H398" s="169"/>
      <c r="I398" s="169"/>
      <c r="J398" s="169"/>
      <c r="K398" s="169"/>
      <c r="L398" s="169"/>
      <c r="M398" s="169"/>
      <c r="N398" s="169"/>
      <c r="O398" s="169"/>
      <c r="P398" s="169"/>
      <c r="Q398" s="169"/>
      <c r="R398" s="169"/>
      <c r="S398" s="169"/>
      <c r="T398" s="169"/>
      <c r="U398" s="169"/>
      <c r="V398" s="169"/>
      <c r="W398" s="169"/>
      <c r="X398" s="169"/>
      <c r="Y398" s="169"/>
      <c r="Z398" s="169"/>
      <c r="AA398" s="169"/>
      <c r="AB398" s="169"/>
      <c r="AC398" s="169"/>
    </row>
    <row r="399" spans="1:29" s="12" customFormat="1" hidden="1" x14ac:dyDescent="0.3">
      <c r="A399" s="169"/>
      <c r="B399" s="169"/>
      <c r="C399" s="169"/>
      <c r="D399" s="169"/>
      <c r="E399" s="169"/>
      <c r="F399" s="169"/>
      <c r="G399" s="169"/>
      <c r="H399" s="169"/>
      <c r="I399" s="169"/>
      <c r="J399" s="169"/>
      <c r="K399" s="169"/>
      <c r="L399" s="169"/>
      <c r="M399" s="169"/>
      <c r="N399" s="169"/>
      <c r="O399" s="169"/>
      <c r="P399" s="169"/>
      <c r="Q399" s="169"/>
      <c r="R399" s="169"/>
      <c r="S399" s="169"/>
      <c r="T399" s="169"/>
      <c r="U399" s="169"/>
      <c r="V399" s="169"/>
      <c r="W399" s="169"/>
      <c r="X399" s="169"/>
      <c r="Y399" s="169"/>
      <c r="Z399" s="169"/>
      <c r="AA399" s="169"/>
      <c r="AB399" s="169"/>
      <c r="AC399" s="169"/>
    </row>
    <row r="400" spans="1:29" s="12" customFormat="1" hidden="1" x14ac:dyDescent="0.3">
      <c r="A400" s="169"/>
      <c r="B400" s="169"/>
      <c r="C400" s="169"/>
      <c r="D400" s="169"/>
      <c r="E400" s="169"/>
      <c r="F400" s="169"/>
      <c r="G400" s="169"/>
      <c r="H400" s="169"/>
      <c r="I400" s="169"/>
      <c r="J400" s="169"/>
      <c r="K400" s="169"/>
      <c r="L400" s="169"/>
      <c r="M400" s="169"/>
      <c r="N400" s="169"/>
      <c r="O400" s="169"/>
      <c r="P400" s="169"/>
      <c r="Q400" s="169"/>
      <c r="R400" s="169"/>
      <c r="S400" s="169"/>
      <c r="T400" s="169"/>
      <c r="U400" s="169"/>
      <c r="V400" s="169"/>
      <c r="W400" s="169"/>
      <c r="X400" s="169"/>
      <c r="Y400" s="169"/>
      <c r="Z400" s="169"/>
      <c r="AA400" s="169"/>
      <c r="AB400" s="169"/>
      <c r="AC400" s="169"/>
    </row>
    <row r="401" spans="1:29" s="12" customFormat="1" hidden="1" x14ac:dyDescent="0.3">
      <c r="A401" s="169"/>
      <c r="B401" s="169"/>
      <c r="C401" s="169"/>
      <c r="D401" s="169"/>
      <c r="E401" s="169"/>
      <c r="F401" s="169"/>
      <c r="G401" s="169"/>
      <c r="H401" s="169"/>
      <c r="I401" s="169"/>
      <c r="J401" s="169"/>
      <c r="K401" s="169"/>
      <c r="L401" s="169"/>
      <c r="M401" s="169"/>
      <c r="N401" s="169"/>
      <c r="O401" s="169"/>
      <c r="P401" s="169"/>
      <c r="Q401" s="169"/>
      <c r="R401" s="169"/>
      <c r="S401" s="169"/>
      <c r="T401" s="169"/>
      <c r="U401" s="169"/>
      <c r="V401" s="169"/>
      <c r="W401" s="169"/>
      <c r="X401" s="169"/>
      <c r="Y401" s="169"/>
      <c r="Z401" s="169"/>
      <c r="AA401" s="169"/>
      <c r="AB401" s="169"/>
      <c r="AC401" s="169"/>
    </row>
    <row r="402" spans="1:29" s="12" customFormat="1" hidden="1" x14ac:dyDescent="0.3">
      <c r="A402" s="169"/>
      <c r="B402" s="169"/>
      <c r="C402" s="169"/>
      <c r="D402" s="169"/>
      <c r="E402" s="169"/>
      <c r="F402" s="169"/>
      <c r="G402" s="169"/>
      <c r="H402" s="169"/>
      <c r="I402" s="169"/>
      <c r="J402" s="169"/>
      <c r="K402" s="169"/>
      <c r="L402" s="169"/>
      <c r="M402" s="169"/>
      <c r="N402" s="169"/>
      <c r="O402" s="169"/>
      <c r="P402" s="169"/>
      <c r="Q402" s="169"/>
      <c r="R402" s="169"/>
      <c r="S402" s="169"/>
      <c r="T402" s="169"/>
      <c r="U402" s="169"/>
      <c r="V402" s="169"/>
      <c r="W402" s="169"/>
      <c r="X402" s="169"/>
      <c r="Y402" s="169"/>
      <c r="Z402" s="169"/>
      <c r="AA402" s="169"/>
      <c r="AB402" s="169"/>
      <c r="AC402" s="169"/>
    </row>
    <row r="403" spans="1:29" s="12" customFormat="1" hidden="1" x14ac:dyDescent="0.3">
      <c r="A403" s="169"/>
      <c r="B403" s="169"/>
      <c r="C403" s="169"/>
      <c r="D403" s="169"/>
      <c r="E403" s="169"/>
      <c r="F403" s="169"/>
      <c r="G403" s="169"/>
      <c r="H403" s="169"/>
      <c r="I403" s="169"/>
      <c r="J403" s="169"/>
      <c r="K403" s="169"/>
      <c r="L403" s="169"/>
      <c r="M403" s="169"/>
      <c r="N403" s="169"/>
      <c r="O403" s="169"/>
      <c r="P403" s="169"/>
      <c r="Q403" s="169"/>
      <c r="R403" s="169"/>
      <c r="S403" s="169"/>
      <c r="T403" s="169"/>
      <c r="U403" s="169"/>
      <c r="V403" s="169"/>
      <c r="W403" s="169"/>
      <c r="X403" s="169"/>
      <c r="Y403" s="169"/>
      <c r="Z403" s="169"/>
      <c r="AA403" s="169"/>
      <c r="AB403" s="169"/>
      <c r="AC403" s="169"/>
    </row>
    <row r="404" spans="1:29" s="12" customFormat="1" hidden="1" x14ac:dyDescent="0.3">
      <c r="A404" s="169"/>
      <c r="B404" s="169"/>
      <c r="C404" s="169"/>
      <c r="D404" s="169"/>
      <c r="E404" s="169"/>
      <c r="F404" s="169"/>
      <c r="G404" s="169"/>
      <c r="H404" s="169"/>
      <c r="I404" s="169"/>
      <c r="J404" s="169"/>
      <c r="K404" s="169"/>
      <c r="L404" s="169"/>
      <c r="M404" s="169"/>
      <c r="N404" s="169"/>
      <c r="O404" s="169"/>
      <c r="P404" s="169"/>
      <c r="Q404" s="169"/>
      <c r="R404" s="169"/>
      <c r="S404" s="169"/>
      <c r="T404" s="169"/>
      <c r="U404" s="169"/>
      <c r="V404" s="169"/>
      <c r="W404" s="169"/>
      <c r="X404" s="169"/>
      <c r="Y404" s="169"/>
      <c r="Z404" s="169"/>
      <c r="AA404" s="169"/>
      <c r="AB404" s="169"/>
      <c r="AC404" s="169"/>
    </row>
    <row r="405" spans="1:29" s="12" customFormat="1" hidden="1" x14ac:dyDescent="0.3">
      <c r="A405" s="169"/>
      <c r="B405" s="169"/>
      <c r="C405" s="169"/>
      <c r="D405" s="169"/>
      <c r="E405" s="169"/>
      <c r="F405" s="169"/>
      <c r="G405" s="169"/>
      <c r="H405" s="169"/>
      <c r="I405" s="169"/>
      <c r="J405" s="169"/>
      <c r="K405" s="169"/>
      <c r="L405" s="169"/>
      <c r="M405" s="169"/>
      <c r="N405" s="169"/>
      <c r="O405" s="169"/>
      <c r="P405" s="169"/>
      <c r="Q405" s="169"/>
      <c r="R405" s="169"/>
      <c r="S405" s="169"/>
      <c r="T405" s="169"/>
      <c r="U405" s="169"/>
      <c r="V405" s="169"/>
      <c r="W405" s="169"/>
      <c r="X405" s="169"/>
      <c r="Y405" s="169"/>
      <c r="Z405" s="169"/>
      <c r="AA405" s="169"/>
      <c r="AB405" s="169"/>
      <c r="AC405" s="169"/>
    </row>
    <row r="406" spans="1:29" s="12" customFormat="1" hidden="1" x14ac:dyDescent="0.3">
      <c r="A406" s="169"/>
      <c r="B406" s="169"/>
      <c r="C406" s="169"/>
      <c r="D406" s="169"/>
      <c r="E406" s="169"/>
      <c r="F406" s="169"/>
      <c r="G406" s="169"/>
      <c r="H406" s="169"/>
      <c r="I406" s="169"/>
      <c r="J406" s="169"/>
      <c r="K406" s="169"/>
      <c r="L406" s="169"/>
      <c r="M406" s="169"/>
      <c r="N406" s="169"/>
      <c r="O406" s="169"/>
      <c r="P406" s="169"/>
      <c r="Q406" s="169"/>
      <c r="R406" s="169"/>
      <c r="S406" s="169"/>
      <c r="T406" s="169"/>
      <c r="U406" s="169"/>
      <c r="V406" s="169"/>
      <c r="W406" s="169"/>
      <c r="X406" s="169"/>
      <c r="Y406" s="169"/>
      <c r="Z406" s="169"/>
      <c r="AA406" s="169"/>
      <c r="AB406" s="169"/>
      <c r="AC406" s="169"/>
    </row>
    <row r="407" spans="1:29" s="12" customFormat="1" hidden="1" x14ac:dyDescent="0.3">
      <c r="A407" s="169"/>
      <c r="B407" s="169"/>
      <c r="C407" s="169"/>
      <c r="D407" s="169"/>
      <c r="E407" s="169"/>
      <c r="F407" s="169"/>
      <c r="G407" s="169"/>
      <c r="H407" s="169"/>
      <c r="I407" s="169"/>
      <c r="J407" s="169"/>
      <c r="K407" s="169"/>
      <c r="L407" s="169"/>
      <c r="M407" s="169"/>
      <c r="N407" s="169"/>
      <c r="O407" s="169"/>
      <c r="P407" s="169"/>
      <c r="Q407" s="169"/>
      <c r="R407" s="169"/>
      <c r="S407" s="169"/>
      <c r="T407" s="169"/>
      <c r="U407" s="169"/>
      <c r="V407" s="169"/>
      <c r="W407" s="169"/>
      <c r="X407" s="169"/>
      <c r="Y407" s="169"/>
      <c r="Z407" s="169"/>
      <c r="AA407" s="169"/>
      <c r="AB407" s="169"/>
      <c r="AC407" s="169"/>
    </row>
    <row r="408" spans="1:29" s="12" customFormat="1" hidden="1" x14ac:dyDescent="0.3">
      <c r="A408" s="169"/>
      <c r="B408" s="169"/>
      <c r="C408" s="169"/>
      <c r="D408" s="169"/>
      <c r="E408" s="169"/>
      <c r="F408" s="169"/>
      <c r="G408" s="169"/>
      <c r="H408" s="169"/>
      <c r="I408" s="169"/>
      <c r="J408" s="169"/>
      <c r="K408" s="169"/>
      <c r="L408" s="169"/>
      <c r="M408" s="169"/>
      <c r="N408" s="169"/>
      <c r="O408" s="169"/>
      <c r="P408" s="169"/>
      <c r="Q408" s="169"/>
      <c r="R408" s="169"/>
      <c r="S408" s="169"/>
      <c r="T408" s="169"/>
      <c r="U408" s="169"/>
      <c r="V408" s="169"/>
      <c r="W408" s="169"/>
      <c r="X408" s="169"/>
      <c r="Y408" s="169"/>
      <c r="Z408" s="169"/>
      <c r="AA408" s="169"/>
      <c r="AB408" s="169"/>
      <c r="AC408" s="169"/>
    </row>
    <row r="409" spans="1:29" s="12" customFormat="1" hidden="1" x14ac:dyDescent="0.3">
      <c r="A409" s="169"/>
      <c r="B409" s="169"/>
      <c r="C409" s="169"/>
      <c r="D409" s="169"/>
      <c r="E409" s="169"/>
      <c r="F409" s="169"/>
      <c r="G409" s="169"/>
      <c r="H409" s="169"/>
      <c r="I409" s="169"/>
      <c r="J409" s="169"/>
      <c r="K409" s="169"/>
      <c r="L409" s="169"/>
      <c r="M409" s="169"/>
      <c r="N409" s="169"/>
      <c r="O409" s="169"/>
      <c r="P409" s="169"/>
      <c r="Q409" s="169"/>
      <c r="R409" s="169"/>
      <c r="S409" s="169"/>
      <c r="T409" s="169"/>
      <c r="U409" s="169"/>
      <c r="V409" s="169"/>
      <c r="W409" s="169"/>
      <c r="X409" s="169"/>
      <c r="Y409" s="169"/>
      <c r="Z409" s="169"/>
      <c r="AA409" s="169"/>
      <c r="AB409" s="169"/>
      <c r="AC409" s="169"/>
    </row>
    <row r="410" spans="1:29" s="12" customFormat="1" hidden="1" x14ac:dyDescent="0.3">
      <c r="A410" s="169"/>
      <c r="B410" s="169"/>
      <c r="C410" s="169"/>
      <c r="D410" s="169"/>
      <c r="E410" s="169"/>
      <c r="F410" s="169"/>
      <c r="G410" s="169"/>
      <c r="H410" s="169"/>
      <c r="I410" s="169"/>
      <c r="J410" s="169"/>
      <c r="K410" s="169"/>
      <c r="L410" s="169"/>
      <c r="M410" s="169"/>
      <c r="N410" s="169"/>
      <c r="O410" s="169"/>
      <c r="P410" s="169"/>
      <c r="Q410" s="169"/>
      <c r="R410" s="169"/>
      <c r="S410" s="169"/>
      <c r="T410" s="169"/>
      <c r="U410" s="169"/>
      <c r="V410" s="169"/>
      <c r="W410" s="169"/>
      <c r="X410" s="169"/>
      <c r="Y410" s="169"/>
      <c r="Z410" s="169"/>
      <c r="AA410" s="169"/>
      <c r="AB410" s="169"/>
      <c r="AC410" s="169"/>
    </row>
    <row r="411" spans="1:29" s="12" customFormat="1" hidden="1" x14ac:dyDescent="0.3">
      <c r="A411" s="169"/>
      <c r="B411" s="169"/>
      <c r="C411" s="169"/>
      <c r="D411" s="169"/>
      <c r="E411" s="169"/>
      <c r="F411" s="169"/>
      <c r="G411" s="169"/>
      <c r="H411" s="169"/>
      <c r="I411" s="169"/>
      <c r="J411" s="169"/>
      <c r="K411" s="169"/>
      <c r="L411" s="169"/>
      <c r="M411" s="169"/>
      <c r="N411" s="169"/>
      <c r="O411" s="169"/>
      <c r="P411" s="169"/>
      <c r="Q411" s="169"/>
      <c r="R411" s="169"/>
      <c r="S411" s="169"/>
      <c r="T411" s="169"/>
      <c r="U411" s="169"/>
      <c r="V411" s="169"/>
      <c r="W411" s="169"/>
      <c r="X411" s="169"/>
      <c r="Y411" s="169"/>
      <c r="Z411" s="169"/>
      <c r="AA411" s="169"/>
      <c r="AB411" s="169"/>
      <c r="AC411" s="169"/>
    </row>
    <row r="412" spans="1:29" s="12" customFormat="1" hidden="1" x14ac:dyDescent="0.3">
      <c r="A412" s="169"/>
      <c r="B412" s="169"/>
      <c r="C412" s="169"/>
      <c r="D412" s="169"/>
      <c r="E412" s="169"/>
      <c r="F412" s="169"/>
      <c r="G412" s="169"/>
      <c r="H412" s="169"/>
      <c r="I412" s="169"/>
      <c r="J412" s="169"/>
      <c r="K412" s="169"/>
      <c r="L412" s="169"/>
      <c r="M412" s="169"/>
      <c r="N412" s="169"/>
      <c r="O412" s="169"/>
      <c r="P412" s="169"/>
      <c r="Q412" s="169"/>
      <c r="R412" s="169"/>
      <c r="S412" s="169"/>
      <c r="T412" s="169"/>
      <c r="U412" s="169"/>
      <c r="V412" s="169"/>
      <c r="W412" s="169"/>
      <c r="X412" s="169"/>
      <c r="Y412" s="169"/>
      <c r="Z412" s="169"/>
      <c r="AA412" s="169"/>
      <c r="AB412" s="169"/>
      <c r="AC412" s="169"/>
    </row>
    <row r="413" spans="1:29" s="12" customFormat="1" hidden="1" x14ac:dyDescent="0.3">
      <c r="A413" s="169"/>
      <c r="B413" s="169"/>
      <c r="C413" s="169"/>
      <c r="D413" s="169"/>
      <c r="E413" s="169"/>
      <c r="F413" s="169"/>
      <c r="G413" s="169"/>
      <c r="H413" s="169"/>
      <c r="I413" s="169"/>
      <c r="J413" s="169"/>
      <c r="K413" s="169"/>
      <c r="L413" s="169"/>
      <c r="M413" s="169"/>
      <c r="N413" s="169"/>
      <c r="O413" s="169"/>
      <c r="P413" s="169"/>
      <c r="Q413" s="169"/>
      <c r="R413" s="169"/>
      <c r="S413" s="169"/>
      <c r="T413" s="169"/>
      <c r="U413" s="169"/>
      <c r="V413" s="169"/>
      <c r="W413" s="169"/>
      <c r="X413" s="169"/>
      <c r="Y413" s="169"/>
      <c r="Z413" s="169"/>
      <c r="AA413" s="169"/>
      <c r="AB413" s="169"/>
      <c r="AC413" s="169"/>
    </row>
    <row r="414" spans="1:29" s="12" customFormat="1" hidden="1" x14ac:dyDescent="0.3">
      <c r="A414" s="169"/>
      <c r="B414" s="169"/>
      <c r="C414" s="169"/>
      <c r="D414" s="169"/>
      <c r="E414" s="169"/>
      <c r="F414" s="169"/>
      <c r="G414" s="169"/>
      <c r="H414" s="169"/>
      <c r="I414" s="169"/>
      <c r="J414" s="169"/>
      <c r="K414" s="169"/>
      <c r="L414" s="169"/>
      <c r="M414" s="169"/>
      <c r="N414" s="169"/>
      <c r="O414" s="169"/>
      <c r="P414" s="169"/>
      <c r="Q414" s="169"/>
      <c r="R414" s="169"/>
      <c r="S414" s="169"/>
      <c r="T414" s="169"/>
      <c r="U414" s="169"/>
      <c r="V414" s="169"/>
      <c r="W414" s="169"/>
      <c r="X414" s="169"/>
      <c r="Y414" s="169"/>
      <c r="Z414" s="169"/>
      <c r="AA414" s="169"/>
      <c r="AB414" s="169"/>
      <c r="AC414" s="169"/>
    </row>
    <row r="415" spans="1:29" s="12" customFormat="1" hidden="1" x14ac:dyDescent="0.3">
      <c r="A415" s="169"/>
      <c r="B415" s="169"/>
      <c r="C415" s="169"/>
      <c r="D415" s="169"/>
      <c r="E415" s="169"/>
      <c r="F415" s="169"/>
      <c r="G415" s="169"/>
      <c r="H415" s="169"/>
      <c r="I415" s="169"/>
      <c r="J415" s="169"/>
      <c r="K415" s="169"/>
      <c r="L415" s="169"/>
      <c r="M415" s="169"/>
      <c r="N415" s="169"/>
      <c r="O415" s="169"/>
      <c r="P415" s="169"/>
      <c r="Q415" s="169"/>
      <c r="R415" s="169"/>
      <c r="S415" s="169"/>
      <c r="T415" s="169"/>
      <c r="U415" s="169"/>
      <c r="V415" s="169"/>
      <c r="W415" s="169"/>
      <c r="X415" s="169"/>
      <c r="Y415" s="169"/>
      <c r="Z415" s="169"/>
      <c r="AA415" s="169"/>
      <c r="AB415" s="169"/>
      <c r="AC415" s="169"/>
    </row>
    <row r="416" spans="1:29" s="12" customFormat="1" hidden="1" x14ac:dyDescent="0.3">
      <c r="A416" s="169"/>
      <c r="B416" s="169"/>
      <c r="C416" s="169"/>
      <c r="D416" s="169"/>
      <c r="E416" s="169"/>
      <c r="F416" s="169"/>
      <c r="G416" s="169"/>
      <c r="H416" s="169"/>
      <c r="I416" s="169"/>
      <c r="J416" s="169"/>
      <c r="K416" s="169"/>
      <c r="L416" s="169"/>
      <c r="M416" s="169"/>
      <c r="N416" s="169"/>
      <c r="O416" s="169"/>
      <c r="P416" s="169"/>
      <c r="Q416" s="169"/>
      <c r="R416" s="169"/>
      <c r="S416" s="169"/>
      <c r="T416" s="169"/>
      <c r="U416" s="169"/>
      <c r="V416" s="169"/>
      <c r="W416" s="169"/>
      <c r="X416" s="169"/>
      <c r="Y416" s="169"/>
      <c r="Z416" s="169"/>
      <c r="AA416" s="169"/>
      <c r="AB416" s="169"/>
      <c r="AC416" s="169"/>
    </row>
    <row r="417" spans="1:29" s="12" customFormat="1" hidden="1" x14ac:dyDescent="0.3">
      <c r="A417" s="169"/>
      <c r="B417" s="169"/>
      <c r="C417" s="169"/>
      <c r="D417" s="169"/>
      <c r="E417" s="169"/>
      <c r="F417" s="169"/>
      <c r="G417" s="169"/>
      <c r="H417" s="169"/>
      <c r="I417" s="169"/>
      <c r="J417" s="169"/>
      <c r="K417" s="169"/>
      <c r="L417" s="169"/>
      <c r="M417" s="169"/>
      <c r="N417" s="169"/>
      <c r="O417" s="169"/>
      <c r="P417" s="169"/>
      <c r="Q417" s="169"/>
      <c r="R417" s="169"/>
      <c r="S417" s="169"/>
      <c r="T417" s="169"/>
      <c r="U417" s="169"/>
      <c r="V417" s="169"/>
      <c r="W417" s="169"/>
      <c r="X417" s="169"/>
      <c r="Y417" s="169"/>
      <c r="Z417" s="169"/>
      <c r="AA417" s="169"/>
      <c r="AB417" s="169"/>
      <c r="AC417" s="169"/>
    </row>
    <row r="418" spans="1:29" s="12" customFormat="1" hidden="1" x14ac:dyDescent="0.3">
      <c r="A418" s="169"/>
      <c r="B418" s="169"/>
      <c r="C418" s="169"/>
      <c r="D418" s="169"/>
      <c r="E418" s="169"/>
      <c r="F418" s="169"/>
      <c r="G418" s="169"/>
      <c r="H418" s="169"/>
      <c r="I418" s="169"/>
      <c r="J418" s="169"/>
      <c r="K418" s="169"/>
      <c r="L418" s="169"/>
      <c r="M418" s="169"/>
      <c r="N418" s="169"/>
      <c r="O418" s="169"/>
      <c r="P418" s="169"/>
      <c r="Q418" s="169"/>
      <c r="R418" s="169"/>
      <c r="S418" s="169"/>
      <c r="T418" s="169"/>
      <c r="U418" s="169"/>
      <c r="V418" s="169"/>
      <c r="W418" s="169"/>
      <c r="X418" s="169"/>
      <c r="Y418" s="169"/>
      <c r="Z418" s="169"/>
      <c r="AA418" s="169"/>
      <c r="AB418" s="169"/>
      <c r="AC418" s="169"/>
    </row>
    <row r="419" spans="1:29" s="12" customFormat="1" hidden="1" x14ac:dyDescent="0.3">
      <c r="A419" s="169"/>
      <c r="B419" s="169"/>
      <c r="C419" s="169"/>
      <c r="D419" s="169"/>
      <c r="E419" s="169"/>
      <c r="F419" s="169"/>
      <c r="G419" s="169"/>
      <c r="H419" s="169"/>
      <c r="I419" s="169"/>
      <c r="J419" s="169"/>
      <c r="K419" s="169"/>
      <c r="L419" s="169"/>
      <c r="M419" s="169"/>
      <c r="N419" s="169"/>
      <c r="O419" s="169"/>
      <c r="P419" s="169"/>
      <c r="Q419" s="169"/>
      <c r="R419" s="169"/>
      <c r="S419" s="169"/>
      <c r="T419" s="169"/>
      <c r="U419" s="169"/>
      <c r="V419" s="169"/>
      <c r="W419" s="169"/>
      <c r="X419" s="169"/>
      <c r="Y419" s="169"/>
      <c r="Z419" s="169"/>
      <c r="AA419" s="169"/>
      <c r="AB419" s="169"/>
      <c r="AC419" s="169"/>
    </row>
    <row r="420" spans="1:29" s="12" customFormat="1" hidden="1" x14ac:dyDescent="0.3">
      <c r="A420" s="169"/>
      <c r="B420" s="169"/>
      <c r="C420" s="169"/>
      <c r="D420" s="169"/>
      <c r="E420" s="169"/>
      <c r="F420" s="169"/>
      <c r="G420" s="169"/>
      <c r="H420" s="169"/>
      <c r="I420" s="169"/>
      <c r="J420" s="169"/>
      <c r="K420" s="169"/>
      <c r="L420" s="169"/>
      <c r="M420" s="169"/>
      <c r="N420" s="169"/>
      <c r="O420" s="169"/>
      <c r="P420" s="169"/>
      <c r="Q420" s="169"/>
      <c r="R420" s="169"/>
      <c r="S420" s="169"/>
      <c r="T420" s="169"/>
      <c r="U420" s="169"/>
      <c r="V420" s="169"/>
      <c r="W420" s="169"/>
      <c r="X420" s="169"/>
      <c r="Y420" s="169"/>
      <c r="Z420" s="169"/>
      <c r="AA420" s="169"/>
      <c r="AB420" s="169"/>
      <c r="AC420" s="169"/>
    </row>
    <row r="421" spans="1:29" s="12" customFormat="1" hidden="1" x14ac:dyDescent="0.3">
      <c r="A421" s="169"/>
      <c r="B421" s="169"/>
      <c r="C421" s="169"/>
      <c r="D421" s="169"/>
      <c r="E421" s="169"/>
      <c r="F421" s="169"/>
      <c r="G421" s="169"/>
      <c r="H421" s="169"/>
      <c r="I421" s="169"/>
      <c r="J421" s="169"/>
      <c r="K421" s="169"/>
      <c r="L421" s="169"/>
      <c r="M421" s="169"/>
      <c r="N421" s="169"/>
      <c r="O421" s="169"/>
      <c r="P421" s="169"/>
      <c r="Q421" s="169"/>
      <c r="R421" s="169"/>
      <c r="S421" s="169"/>
      <c r="T421" s="169"/>
      <c r="U421" s="169"/>
      <c r="V421" s="169"/>
      <c r="W421" s="169"/>
      <c r="X421" s="169"/>
      <c r="Y421" s="169"/>
      <c r="Z421" s="169"/>
      <c r="AA421" s="169"/>
      <c r="AB421" s="169"/>
      <c r="AC421" s="169"/>
    </row>
    <row r="422" spans="1:29" s="12" customFormat="1" hidden="1" x14ac:dyDescent="0.3">
      <c r="A422" s="169"/>
      <c r="B422" s="169"/>
      <c r="C422" s="169"/>
      <c r="D422" s="169"/>
      <c r="E422" s="169"/>
      <c r="F422" s="169"/>
      <c r="G422" s="169"/>
      <c r="H422" s="169"/>
      <c r="I422" s="169"/>
      <c r="J422" s="169"/>
      <c r="K422" s="169"/>
      <c r="L422" s="169"/>
      <c r="M422" s="169"/>
      <c r="N422" s="169"/>
      <c r="O422" s="169"/>
      <c r="P422" s="169"/>
      <c r="Q422" s="169"/>
      <c r="R422" s="169"/>
      <c r="S422" s="169"/>
      <c r="T422" s="169"/>
      <c r="U422" s="169"/>
      <c r="V422" s="169"/>
      <c r="W422" s="169"/>
      <c r="X422" s="169"/>
      <c r="Y422" s="169"/>
      <c r="Z422" s="169"/>
      <c r="AA422" s="169"/>
      <c r="AB422" s="169"/>
      <c r="AC422" s="169"/>
    </row>
    <row r="423" spans="1:29" s="12" customFormat="1" hidden="1" x14ac:dyDescent="0.3">
      <c r="A423" s="169"/>
      <c r="B423" s="169"/>
      <c r="C423" s="169"/>
      <c r="D423" s="169"/>
      <c r="E423" s="169"/>
      <c r="F423" s="169"/>
      <c r="G423" s="169"/>
      <c r="H423" s="169"/>
      <c r="I423" s="169"/>
      <c r="J423" s="169"/>
      <c r="K423" s="169"/>
      <c r="L423" s="169"/>
      <c r="M423" s="169"/>
      <c r="N423" s="169"/>
      <c r="O423" s="169"/>
      <c r="P423" s="169"/>
      <c r="Q423" s="169"/>
      <c r="R423" s="169"/>
      <c r="S423" s="169"/>
      <c r="T423" s="169"/>
      <c r="U423" s="169"/>
      <c r="V423" s="169"/>
      <c r="W423" s="169"/>
      <c r="X423" s="169"/>
      <c r="Y423" s="169"/>
      <c r="Z423" s="169"/>
      <c r="AA423" s="169"/>
      <c r="AB423" s="169"/>
      <c r="AC423" s="169"/>
    </row>
    <row r="424" spans="1:29" s="12" customFormat="1" hidden="1" x14ac:dyDescent="0.3">
      <c r="A424" s="169"/>
      <c r="B424" s="169"/>
      <c r="C424" s="169"/>
      <c r="D424" s="169"/>
      <c r="E424" s="169"/>
      <c r="F424" s="169"/>
      <c r="G424" s="169"/>
      <c r="H424" s="169"/>
      <c r="I424" s="169"/>
      <c r="J424" s="169"/>
      <c r="K424" s="169"/>
      <c r="L424" s="169"/>
      <c r="M424" s="169"/>
      <c r="N424" s="169"/>
      <c r="O424" s="169"/>
      <c r="P424" s="169"/>
      <c r="Q424" s="169"/>
      <c r="R424" s="169"/>
      <c r="S424" s="169"/>
      <c r="T424" s="169"/>
      <c r="U424" s="169"/>
      <c r="V424" s="169"/>
      <c r="W424" s="169"/>
      <c r="X424" s="169"/>
      <c r="Y424" s="169"/>
      <c r="Z424" s="169"/>
      <c r="AA424" s="169"/>
      <c r="AB424" s="169"/>
      <c r="AC424" s="169"/>
    </row>
    <row r="425" spans="1:29" s="12" customFormat="1" hidden="1" x14ac:dyDescent="0.3">
      <c r="A425" s="169"/>
      <c r="B425" s="169"/>
      <c r="C425" s="169"/>
      <c r="D425" s="169"/>
      <c r="E425" s="169"/>
      <c r="F425" s="169"/>
      <c r="G425" s="169"/>
      <c r="H425" s="169"/>
      <c r="I425" s="169"/>
      <c r="J425" s="169"/>
      <c r="K425" s="169"/>
      <c r="L425" s="169"/>
      <c r="M425" s="169"/>
      <c r="N425" s="169"/>
      <c r="O425" s="169"/>
      <c r="P425" s="169"/>
      <c r="Q425" s="169"/>
      <c r="R425" s="169"/>
      <c r="S425" s="169"/>
      <c r="T425" s="169"/>
      <c r="U425" s="169"/>
      <c r="V425" s="169"/>
      <c r="W425" s="169"/>
      <c r="X425" s="169"/>
      <c r="Y425" s="169"/>
      <c r="Z425" s="169"/>
      <c r="AA425" s="169"/>
      <c r="AB425" s="169"/>
      <c r="AC425" s="169"/>
    </row>
    <row r="426" spans="1:29" s="12" customFormat="1" hidden="1" x14ac:dyDescent="0.3">
      <c r="A426" s="169"/>
      <c r="B426" s="169"/>
      <c r="C426" s="169"/>
      <c r="D426" s="169"/>
      <c r="E426" s="169"/>
      <c r="F426" s="169"/>
      <c r="G426" s="169"/>
      <c r="H426" s="169"/>
      <c r="I426" s="169"/>
      <c r="J426" s="169"/>
      <c r="K426" s="169"/>
      <c r="L426" s="169"/>
      <c r="M426" s="169"/>
      <c r="N426" s="169"/>
      <c r="O426" s="169"/>
      <c r="P426" s="169"/>
      <c r="Q426" s="169"/>
      <c r="R426" s="169"/>
      <c r="S426" s="169"/>
      <c r="T426" s="169"/>
      <c r="U426" s="169"/>
      <c r="V426" s="169"/>
      <c r="W426" s="169"/>
      <c r="X426" s="169"/>
      <c r="Y426" s="169"/>
      <c r="Z426" s="169"/>
      <c r="AA426" s="169"/>
      <c r="AB426" s="169"/>
      <c r="AC426" s="169"/>
    </row>
    <row r="427" spans="1:29" s="12" customFormat="1" hidden="1" x14ac:dyDescent="0.3">
      <c r="A427" s="169"/>
      <c r="B427" s="169"/>
      <c r="C427" s="169"/>
      <c r="D427" s="169"/>
      <c r="E427" s="169"/>
      <c r="F427" s="169"/>
      <c r="G427" s="169"/>
      <c r="H427" s="169"/>
      <c r="I427" s="169"/>
      <c r="J427" s="169"/>
      <c r="K427" s="169"/>
      <c r="L427" s="169"/>
      <c r="M427" s="169"/>
      <c r="N427" s="169"/>
      <c r="O427" s="169"/>
      <c r="P427" s="169"/>
      <c r="Q427" s="169"/>
      <c r="R427" s="169"/>
      <c r="S427" s="169"/>
      <c r="T427" s="169"/>
      <c r="U427" s="169"/>
      <c r="V427" s="169"/>
      <c r="W427" s="169"/>
      <c r="X427" s="169"/>
      <c r="Y427" s="169"/>
      <c r="Z427" s="169"/>
      <c r="AA427" s="169"/>
      <c r="AB427" s="169"/>
      <c r="AC427" s="169"/>
    </row>
    <row r="428" spans="1:29" s="12" customFormat="1" hidden="1" x14ac:dyDescent="0.3">
      <c r="A428" s="169"/>
      <c r="B428" s="169"/>
      <c r="C428" s="169"/>
      <c r="D428" s="169"/>
      <c r="E428" s="169"/>
      <c r="F428" s="169"/>
      <c r="G428" s="169"/>
      <c r="H428" s="169"/>
      <c r="I428" s="169"/>
      <c r="J428" s="169"/>
      <c r="K428" s="169"/>
      <c r="L428" s="169"/>
      <c r="M428" s="169"/>
      <c r="N428" s="169"/>
      <c r="O428" s="169"/>
      <c r="P428" s="169"/>
      <c r="Q428" s="169"/>
      <c r="R428" s="169"/>
      <c r="S428" s="169"/>
      <c r="T428" s="169"/>
      <c r="U428" s="169"/>
      <c r="V428" s="169"/>
      <c r="W428" s="169"/>
      <c r="X428" s="169"/>
      <c r="Y428" s="169"/>
      <c r="Z428" s="169"/>
      <c r="AA428" s="169"/>
      <c r="AB428" s="169"/>
      <c r="AC428" s="169"/>
    </row>
    <row r="429" spans="1:29" s="12" customFormat="1" hidden="1" x14ac:dyDescent="0.3">
      <c r="A429" s="169"/>
      <c r="B429" s="169"/>
      <c r="C429" s="169"/>
      <c r="D429" s="169"/>
      <c r="E429" s="169"/>
      <c r="F429" s="169"/>
      <c r="G429" s="169"/>
      <c r="H429" s="169"/>
      <c r="I429" s="169"/>
      <c r="J429" s="169"/>
      <c r="K429" s="169"/>
      <c r="L429" s="169"/>
      <c r="M429" s="169"/>
      <c r="N429" s="169"/>
      <c r="O429" s="169"/>
      <c r="P429" s="169"/>
      <c r="Q429" s="169"/>
      <c r="R429" s="169"/>
      <c r="S429" s="169"/>
      <c r="T429" s="169"/>
      <c r="U429" s="169"/>
      <c r="V429" s="169"/>
      <c r="W429" s="169"/>
      <c r="X429" s="169"/>
      <c r="Y429" s="169"/>
      <c r="Z429" s="169"/>
      <c r="AA429" s="169"/>
      <c r="AB429" s="169"/>
      <c r="AC429" s="169"/>
    </row>
    <row r="430" spans="1:29" s="12" customFormat="1" hidden="1" x14ac:dyDescent="0.3">
      <c r="A430" s="169"/>
      <c r="B430" s="169"/>
      <c r="C430" s="169"/>
      <c r="D430" s="169"/>
      <c r="E430" s="169"/>
      <c r="F430" s="169"/>
      <c r="G430" s="169"/>
      <c r="H430" s="169"/>
      <c r="I430" s="169"/>
      <c r="J430" s="169"/>
      <c r="K430" s="169"/>
      <c r="L430" s="169"/>
      <c r="M430" s="169"/>
      <c r="N430" s="169"/>
      <c r="O430" s="169"/>
      <c r="P430" s="169"/>
      <c r="Q430" s="169"/>
      <c r="R430" s="169"/>
      <c r="S430" s="169"/>
      <c r="T430" s="169"/>
      <c r="U430" s="169"/>
      <c r="V430" s="169"/>
      <c r="W430" s="169"/>
      <c r="X430" s="169"/>
      <c r="Y430" s="169"/>
      <c r="Z430" s="169"/>
      <c r="AA430" s="169"/>
      <c r="AB430" s="169"/>
      <c r="AC430" s="169"/>
    </row>
    <row r="431" spans="1:29" s="12" customFormat="1" hidden="1" x14ac:dyDescent="0.3">
      <c r="A431" s="169"/>
      <c r="B431" s="169"/>
      <c r="C431" s="169"/>
      <c r="D431" s="169"/>
      <c r="E431" s="169"/>
      <c r="F431" s="169"/>
      <c r="G431" s="169"/>
      <c r="H431" s="169"/>
      <c r="I431" s="169"/>
      <c r="J431" s="169"/>
      <c r="K431" s="169"/>
      <c r="L431" s="169"/>
      <c r="M431" s="169"/>
      <c r="N431" s="169"/>
      <c r="O431" s="169"/>
      <c r="P431" s="169"/>
      <c r="Q431" s="169"/>
      <c r="R431" s="169"/>
      <c r="S431" s="169"/>
      <c r="T431" s="169"/>
      <c r="U431" s="169"/>
      <c r="V431" s="169"/>
      <c r="W431" s="169"/>
      <c r="X431" s="169"/>
      <c r="Y431" s="169"/>
      <c r="Z431" s="169"/>
      <c r="AA431" s="169"/>
      <c r="AB431" s="169"/>
      <c r="AC431" s="169"/>
    </row>
    <row r="432" spans="1:29" s="12" customFormat="1" hidden="1" x14ac:dyDescent="0.3">
      <c r="A432" s="169"/>
      <c r="B432" s="169"/>
      <c r="C432" s="169"/>
      <c r="D432" s="169"/>
      <c r="E432" s="169"/>
      <c r="F432" s="169"/>
      <c r="G432" s="169"/>
      <c r="H432" s="169"/>
      <c r="I432" s="169"/>
      <c r="J432" s="169"/>
      <c r="K432" s="169"/>
      <c r="L432" s="169"/>
      <c r="M432" s="169"/>
      <c r="N432" s="169"/>
      <c r="O432" s="169"/>
      <c r="P432" s="169"/>
      <c r="Q432" s="169"/>
      <c r="R432" s="169"/>
      <c r="S432" s="169"/>
      <c r="T432" s="169"/>
      <c r="U432" s="169"/>
      <c r="V432" s="169"/>
      <c r="W432" s="169"/>
      <c r="X432" s="169"/>
      <c r="Y432" s="169"/>
      <c r="Z432" s="169"/>
      <c r="AA432" s="169"/>
      <c r="AB432" s="169"/>
      <c r="AC432" s="169"/>
    </row>
    <row r="433" spans="1:29" s="12" customFormat="1" hidden="1" x14ac:dyDescent="0.3">
      <c r="A433" s="169"/>
      <c r="B433" s="169"/>
      <c r="C433" s="169"/>
      <c r="D433" s="169"/>
      <c r="E433" s="169"/>
      <c r="F433" s="169"/>
      <c r="G433" s="169"/>
      <c r="H433" s="169"/>
      <c r="I433" s="169"/>
      <c r="J433" s="169"/>
      <c r="K433" s="169"/>
      <c r="L433" s="169"/>
      <c r="M433" s="169"/>
      <c r="N433" s="169"/>
      <c r="O433" s="169"/>
      <c r="P433" s="169"/>
      <c r="Q433" s="169"/>
      <c r="R433" s="169"/>
      <c r="S433" s="169"/>
      <c r="T433" s="169"/>
      <c r="U433" s="169"/>
      <c r="V433" s="169"/>
      <c r="W433" s="169"/>
      <c r="X433" s="169"/>
      <c r="Y433" s="169"/>
      <c r="Z433" s="169"/>
      <c r="AA433" s="169"/>
      <c r="AB433" s="169"/>
      <c r="AC433" s="169"/>
    </row>
    <row r="434" spans="1:29" s="12" customFormat="1" hidden="1" x14ac:dyDescent="0.3">
      <c r="A434" s="169"/>
      <c r="B434" s="169"/>
      <c r="C434" s="169"/>
      <c r="D434" s="169"/>
      <c r="E434" s="169"/>
      <c r="F434" s="169"/>
      <c r="G434" s="169"/>
      <c r="H434" s="169"/>
      <c r="I434" s="169"/>
      <c r="J434" s="169"/>
      <c r="K434" s="169"/>
      <c r="L434" s="169"/>
      <c r="M434" s="169"/>
      <c r="N434" s="169"/>
      <c r="O434" s="169"/>
      <c r="P434" s="169"/>
      <c r="Q434" s="169"/>
      <c r="R434" s="169"/>
      <c r="S434" s="169"/>
      <c r="T434" s="169"/>
      <c r="U434" s="169"/>
      <c r="V434" s="169"/>
      <c r="W434" s="169"/>
      <c r="X434" s="169"/>
      <c r="Y434" s="169"/>
      <c r="Z434" s="169"/>
      <c r="AA434" s="169"/>
      <c r="AB434" s="169"/>
      <c r="AC434" s="169"/>
    </row>
    <row r="435" spans="1:29" s="12" customFormat="1" hidden="1" x14ac:dyDescent="0.3">
      <c r="A435" s="169"/>
      <c r="B435" s="169"/>
      <c r="C435" s="169"/>
      <c r="D435" s="169"/>
      <c r="E435" s="169"/>
      <c r="F435" s="169"/>
      <c r="G435" s="169"/>
      <c r="H435" s="169"/>
      <c r="I435" s="169"/>
      <c r="J435" s="169"/>
      <c r="K435" s="169"/>
      <c r="L435" s="169"/>
      <c r="M435" s="169"/>
      <c r="N435" s="169"/>
      <c r="O435" s="169"/>
      <c r="P435" s="169"/>
      <c r="Q435" s="169"/>
      <c r="R435" s="169"/>
      <c r="S435" s="169"/>
      <c r="T435" s="169"/>
      <c r="U435" s="169"/>
      <c r="V435" s="169"/>
      <c r="W435" s="169"/>
      <c r="X435" s="169"/>
      <c r="Y435" s="169"/>
      <c r="Z435" s="169"/>
      <c r="AA435" s="169"/>
      <c r="AB435" s="169"/>
      <c r="AC435" s="169"/>
    </row>
    <row r="436" spans="1:29" s="12" customFormat="1" hidden="1" x14ac:dyDescent="0.3">
      <c r="A436" s="169"/>
      <c r="B436" s="169"/>
      <c r="C436" s="169"/>
      <c r="D436" s="169"/>
      <c r="E436" s="169"/>
      <c r="F436" s="169"/>
      <c r="G436" s="169"/>
      <c r="H436" s="169"/>
      <c r="I436" s="169"/>
      <c r="J436" s="169"/>
      <c r="K436" s="169"/>
      <c r="L436" s="169"/>
      <c r="M436" s="169"/>
      <c r="N436" s="169"/>
      <c r="O436" s="169"/>
      <c r="P436" s="169"/>
      <c r="Q436" s="169"/>
      <c r="R436" s="169"/>
      <c r="S436" s="169"/>
      <c r="T436" s="169"/>
      <c r="U436" s="169"/>
      <c r="V436" s="169"/>
      <c r="W436" s="169"/>
      <c r="X436" s="169"/>
      <c r="Y436" s="169"/>
      <c r="Z436" s="169"/>
      <c r="AA436" s="169"/>
      <c r="AB436" s="169"/>
      <c r="AC436" s="169"/>
    </row>
    <row r="437" spans="1:29" s="12" customFormat="1" hidden="1" x14ac:dyDescent="0.3">
      <c r="A437" s="169"/>
      <c r="B437" s="169"/>
      <c r="C437" s="169"/>
      <c r="D437" s="169"/>
      <c r="E437" s="169"/>
      <c r="F437" s="169"/>
      <c r="G437" s="169"/>
      <c r="H437" s="169"/>
      <c r="I437" s="169"/>
      <c r="J437" s="169"/>
      <c r="K437" s="169"/>
      <c r="L437" s="169"/>
      <c r="M437" s="169"/>
      <c r="N437" s="169"/>
      <c r="O437" s="169"/>
      <c r="P437" s="169"/>
      <c r="Q437" s="169"/>
      <c r="R437" s="169"/>
      <c r="S437" s="169"/>
      <c r="T437" s="169"/>
      <c r="U437" s="169"/>
      <c r="V437" s="169"/>
      <c r="W437" s="169"/>
      <c r="X437" s="169"/>
      <c r="Y437" s="169"/>
      <c r="Z437" s="169"/>
      <c r="AA437" s="169"/>
      <c r="AB437" s="169"/>
      <c r="AC437" s="169"/>
    </row>
    <row r="438" spans="1:29" s="12" customFormat="1" hidden="1" x14ac:dyDescent="0.3">
      <c r="A438" s="169"/>
      <c r="B438" s="169"/>
      <c r="C438" s="169"/>
      <c r="D438" s="169"/>
      <c r="E438" s="169"/>
      <c r="F438" s="169"/>
      <c r="G438" s="169"/>
      <c r="H438" s="169"/>
      <c r="I438" s="169"/>
      <c r="J438" s="169"/>
      <c r="K438" s="169"/>
      <c r="L438" s="169"/>
      <c r="M438" s="169"/>
      <c r="N438" s="169"/>
      <c r="O438" s="169"/>
      <c r="P438" s="169"/>
      <c r="Q438" s="169"/>
      <c r="R438" s="169"/>
      <c r="S438" s="169"/>
      <c r="T438" s="169"/>
      <c r="U438" s="169"/>
      <c r="V438" s="169"/>
      <c r="W438" s="169"/>
      <c r="X438" s="169"/>
      <c r="Y438" s="169"/>
      <c r="Z438" s="169"/>
      <c r="AA438" s="169"/>
      <c r="AB438" s="169"/>
      <c r="AC438" s="169"/>
    </row>
    <row r="439" spans="1:29" s="12" customFormat="1" hidden="1" x14ac:dyDescent="0.3">
      <c r="A439" s="169"/>
      <c r="B439" s="169"/>
      <c r="C439" s="169"/>
      <c r="D439" s="169"/>
      <c r="E439" s="169"/>
      <c r="F439" s="169"/>
      <c r="G439" s="169"/>
      <c r="H439" s="169"/>
      <c r="I439" s="169"/>
      <c r="J439" s="169"/>
      <c r="K439" s="169"/>
      <c r="L439" s="169"/>
      <c r="M439" s="169"/>
      <c r="N439" s="169"/>
      <c r="O439" s="169"/>
      <c r="P439" s="169"/>
      <c r="Q439" s="169"/>
      <c r="R439" s="169"/>
      <c r="S439" s="169"/>
      <c r="T439" s="169"/>
      <c r="U439" s="169"/>
      <c r="V439" s="169"/>
      <c r="W439" s="169"/>
      <c r="X439" s="169"/>
      <c r="Y439" s="169"/>
      <c r="Z439" s="169"/>
      <c r="AA439" s="169"/>
      <c r="AB439" s="169"/>
      <c r="AC439" s="169"/>
    </row>
    <row r="440" spans="1:29" s="12" customFormat="1" hidden="1" x14ac:dyDescent="0.3">
      <c r="A440" s="169"/>
      <c r="B440" s="169"/>
      <c r="C440" s="169"/>
      <c r="D440" s="169"/>
      <c r="E440" s="169"/>
      <c r="F440" s="169"/>
      <c r="G440" s="169"/>
      <c r="H440" s="169"/>
      <c r="I440" s="169"/>
      <c r="J440" s="169"/>
      <c r="K440" s="169"/>
      <c r="L440" s="169"/>
      <c r="M440" s="169"/>
      <c r="N440" s="169"/>
      <c r="O440" s="169"/>
      <c r="P440" s="169"/>
      <c r="Q440" s="169"/>
      <c r="R440" s="169"/>
      <c r="S440" s="169"/>
      <c r="T440" s="169"/>
      <c r="U440" s="169"/>
      <c r="V440" s="169"/>
      <c r="W440" s="169"/>
      <c r="X440" s="169"/>
      <c r="Y440" s="169"/>
      <c r="Z440" s="169"/>
      <c r="AA440" s="169"/>
      <c r="AB440" s="169"/>
      <c r="AC440" s="169"/>
    </row>
    <row r="441" spans="1:29" s="12" customFormat="1" hidden="1" x14ac:dyDescent="0.3">
      <c r="A441" s="169"/>
      <c r="B441" s="169"/>
      <c r="C441" s="169"/>
      <c r="D441" s="169"/>
      <c r="E441" s="169"/>
      <c r="F441" s="169"/>
      <c r="G441" s="169"/>
      <c r="H441" s="169"/>
      <c r="I441" s="169"/>
      <c r="J441" s="169"/>
      <c r="K441" s="169"/>
      <c r="L441" s="169"/>
      <c r="M441" s="169"/>
      <c r="N441" s="169"/>
      <c r="O441" s="169"/>
      <c r="P441" s="169"/>
      <c r="Q441" s="169"/>
      <c r="R441" s="169"/>
      <c r="S441" s="169"/>
      <c r="T441" s="169"/>
      <c r="U441" s="169"/>
      <c r="V441" s="169"/>
      <c r="W441" s="169"/>
      <c r="X441" s="169"/>
      <c r="Y441" s="169"/>
      <c r="Z441" s="169"/>
      <c r="AA441" s="169"/>
      <c r="AB441" s="169"/>
      <c r="AC441" s="169"/>
    </row>
    <row r="442" spans="1:29" s="12" customFormat="1" hidden="1" x14ac:dyDescent="0.3">
      <c r="A442" s="169"/>
      <c r="B442" s="169"/>
      <c r="C442" s="169"/>
      <c r="D442" s="169"/>
      <c r="E442" s="169"/>
      <c r="F442" s="169"/>
      <c r="G442" s="169"/>
      <c r="H442" s="169"/>
      <c r="I442" s="169"/>
      <c r="J442" s="169"/>
      <c r="K442" s="169"/>
      <c r="L442" s="169"/>
      <c r="M442" s="169"/>
      <c r="N442" s="169"/>
      <c r="O442" s="169"/>
      <c r="P442" s="169"/>
      <c r="Q442" s="169"/>
      <c r="R442" s="169"/>
      <c r="S442" s="169"/>
      <c r="T442" s="169"/>
      <c r="U442" s="169"/>
      <c r="V442" s="169"/>
      <c r="W442" s="169"/>
      <c r="X442" s="169"/>
      <c r="Y442" s="169"/>
      <c r="Z442" s="169"/>
      <c r="AA442" s="169"/>
      <c r="AB442" s="169"/>
      <c r="AC442" s="169"/>
    </row>
    <row r="443" spans="1:29" s="12" customFormat="1" hidden="1" x14ac:dyDescent="0.3">
      <c r="A443" s="169"/>
      <c r="B443" s="169"/>
      <c r="C443" s="169"/>
      <c r="D443" s="169"/>
      <c r="E443" s="169"/>
      <c r="F443" s="169"/>
      <c r="G443" s="169"/>
      <c r="H443" s="169"/>
      <c r="I443" s="169"/>
      <c r="J443" s="169"/>
      <c r="K443" s="169"/>
      <c r="L443" s="169"/>
      <c r="M443" s="169"/>
      <c r="N443" s="169"/>
      <c r="O443" s="169"/>
      <c r="P443" s="169"/>
      <c r="Q443" s="169"/>
      <c r="R443" s="169"/>
      <c r="S443" s="169"/>
      <c r="T443" s="169"/>
      <c r="U443" s="169"/>
      <c r="V443" s="169"/>
      <c r="W443" s="169"/>
      <c r="X443" s="169"/>
      <c r="Y443" s="169"/>
      <c r="Z443" s="169"/>
      <c r="AA443" s="169"/>
      <c r="AB443" s="169"/>
      <c r="AC443" s="169"/>
    </row>
    <row r="444" spans="1:29" s="12" customFormat="1" hidden="1" x14ac:dyDescent="0.3">
      <c r="A444" s="169"/>
      <c r="B444" s="169"/>
      <c r="C444" s="169"/>
      <c r="D444" s="169"/>
      <c r="E444" s="169"/>
      <c r="F444" s="169"/>
      <c r="G444" s="169"/>
      <c r="H444" s="169"/>
      <c r="I444" s="169"/>
      <c r="J444" s="169"/>
      <c r="K444" s="169"/>
      <c r="L444" s="169"/>
      <c r="M444" s="169"/>
      <c r="N444" s="169"/>
      <c r="O444" s="169"/>
      <c r="P444" s="169"/>
      <c r="Q444" s="169"/>
      <c r="R444" s="169"/>
      <c r="S444" s="169"/>
      <c r="T444" s="169"/>
      <c r="U444" s="169"/>
      <c r="V444" s="169"/>
      <c r="W444" s="169"/>
      <c r="X444" s="169"/>
      <c r="Y444" s="169"/>
      <c r="Z444" s="169"/>
      <c r="AA444" s="169"/>
      <c r="AB444" s="169"/>
      <c r="AC444" s="169"/>
    </row>
    <row r="445" spans="1:29" s="12" customFormat="1" hidden="1" x14ac:dyDescent="0.3">
      <c r="A445" s="169"/>
      <c r="B445" s="169"/>
      <c r="C445" s="169"/>
      <c r="D445" s="169"/>
      <c r="E445" s="169"/>
      <c r="F445" s="169"/>
      <c r="G445" s="169"/>
      <c r="H445" s="169"/>
      <c r="I445" s="169"/>
      <c r="J445" s="169"/>
      <c r="K445" s="169"/>
      <c r="L445" s="169"/>
      <c r="M445" s="169"/>
      <c r="N445" s="169"/>
      <c r="O445" s="169"/>
      <c r="P445" s="169"/>
      <c r="Q445" s="169"/>
      <c r="R445" s="169"/>
      <c r="S445" s="169"/>
      <c r="T445" s="169"/>
      <c r="U445" s="169"/>
      <c r="V445" s="169"/>
      <c r="W445" s="169"/>
      <c r="X445" s="169"/>
      <c r="Y445" s="169"/>
      <c r="Z445" s="169"/>
      <c r="AA445" s="169"/>
      <c r="AB445" s="169"/>
      <c r="AC445" s="169"/>
    </row>
    <row r="446" spans="1:29" s="12" customFormat="1" hidden="1" x14ac:dyDescent="0.3">
      <c r="A446" s="169"/>
      <c r="B446" s="169"/>
      <c r="C446" s="169"/>
      <c r="D446" s="169"/>
      <c r="E446" s="169"/>
      <c r="F446" s="169"/>
      <c r="G446" s="169"/>
      <c r="H446" s="169"/>
      <c r="I446" s="169"/>
      <c r="J446" s="169"/>
      <c r="K446" s="169"/>
      <c r="L446" s="169"/>
      <c r="M446" s="169"/>
      <c r="N446" s="169"/>
      <c r="O446" s="169"/>
      <c r="P446" s="169"/>
      <c r="Q446" s="169"/>
      <c r="R446" s="169"/>
      <c r="S446" s="169"/>
      <c r="T446" s="169"/>
      <c r="U446" s="169"/>
      <c r="V446" s="169"/>
      <c r="W446" s="169"/>
      <c r="X446" s="169"/>
      <c r="Y446" s="169"/>
      <c r="Z446" s="169"/>
      <c r="AA446" s="169"/>
      <c r="AB446" s="169"/>
      <c r="AC446" s="169"/>
    </row>
    <row r="447" spans="1:29" s="12" customFormat="1" hidden="1" x14ac:dyDescent="0.3">
      <c r="A447" s="169"/>
      <c r="B447" s="169"/>
      <c r="C447" s="169"/>
      <c r="D447" s="169"/>
      <c r="E447" s="169"/>
      <c r="F447" s="169"/>
      <c r="G447" s="169"/>
      <c r="H447" s="169"/>
      <c r="I447" s="169"/>
      <c r="J447" s="169"/>
      <c r="K447" s="169"/>
      <c r="L447" s="169"/>
      <c r="M447" s="169"/>
      <c r="N447" s="169"/>
      <c r="O447" s="169"/>
      <c r="P447" s="169"/>
      <c r="Q447" s="169"/>
      <c r="R447" s="169"/>
      <c r="S447" s="169"/>
      <c r="T447" s="169"/>
      <c r="U447" s="169"/>
      <c r="V447" s="169"/>
      <c r="W447" s="169"/>
      <c r="X447" s="169"/>
      <c r="Y447" s="169"/>
      <c r="Z447" s="169"/>
      <c r="AA447" s="169"/>
      <c r="AB447" s="169"/>
      <c r="AC447" s="169"/>
    </row>
    <row r="448" spans="1:29" s="12" customFormat="1" hidden="1" x14ac:dyDescent="0.3">
      <c r="A448" s="169"/>
      <c r="B448" s="169"/>
      <c r="C448" s="169"/>
      <c r="D448" s="169"/>
      <c r="E448" s="169"/>
      <c r="F448" s="169"/>
      <c r="G448" s="169"/>
      <c r="H448" s="169"/>
      <c r="I448" s="169"/>
      <c r="J448" s="169"/>
      <c r="K448" s="169"/>
      <c r="L448" s="169"/>
      <c r="M448" s="169"/>
      <c r="N448" s="169"/>
      <c r="O448" s="169"/>
      <c r="P448" s="169"/>
      <c r="Q448" s="169"/>
      <c r="R448" s="169"/>
      <c r="S448" s="169"/>
      <c r="T448" s="169"/>
      <c r="U448" s="169"/>
      <c r="V448" s="169"/>
      <c r="W448" s="169"/>
      <c r="X448" s="169"/>
      <c r="Y448" s="169"/>
      <c r="Z448" s="169"/>
      <c r="AA448" s="169"/>
      <c r="AB448" s="169"/>
      <c r="AC448" s="169"/>
    </row>
    <row r="449" spans="1:29" s="12" customFormat="1" hidden="1" x14ac:dyDescent="0.3">
      <c r="A449" s="169"/>
      <c r="B449" s="169"/>
      <c r="C449" s="169"/>
      <c r="D449" s="169"/>
      <c r="E449" s="169"/>
      <c r="F449" s="169"/>
      <c r="G449" s="169"/>
      <c r="H449" s="169"/>
      <c r="I449" s="169"/>
      <c r="J449" s="169"/>
      <c r="K449" s="169"/>
      <c r="L449" s="169"/>
      <c r="M449" s="169"/>
      <c r="N449" s="169"/>
      <c r="O449" s="169"/>
      <c r="P449" s="169"/>
      <c r="Q449" s="169"/>
      <c r="R449" s="169"/>
      <c r="S449" s="169"/>
      <c r="T449" s="169"/>
      <c r="U449" s="169"/>
      <c r="V449" s="169"/>
      <c r="W449" s="169"/>
      <c r="X449" s="169"/>
      <c r="Y449" s="169"/>
      <c r="Z449" s="169"/>
      <c r="AA449" s="169"/>
      <c r="AB449" s="169"/>
      <c r="AC449" s="169"/>
    </row>
    <row r="450" spans="1:29" s="12" customFormat="1" hidden="1" x14ac:dyDescent="0.3">
      <c r="A450" s="169"/>
      <c r="B450" s="169"/>
      <c r="C450" s="169"/>
      <c r="D450" s="169"/>
      <c r="E450" s="169"/>
      <c r="F450" s="169"/>
      <c r="G450" s="169"/>
      <c r="H450" s="169"/>
      <c r="I450" s="169"/>
      <c r="J450" s="169"/>
      <c r="K450" s="169"/>
      <c r="L450" s="169"/>
      <c r="M450" s="169"/>
      <c r="N450" s="169"/>
      <c r="O450" s="169"/>
      <c r="P450" s="169"/>
      <c r="Q450" s="169"/>
      <c r="R450" s="169"/>
      <c r="S450" s="169"/>
      <c r="T450" s="169"/>
      <c r="U450" s="169"/>
      <c r="V450" s="169"/>
      <c r="W450" s="169"/>
      <c r="X450" s="169"/>
      <c r="Y450" s="169"/>
      <c r="Z450" s="169"/>
      <c r="AA450" s="169"/>
      <c r="AB450" s="169"/>
      <c r="AC450" s="169"/>
    </row>
    <row r="451" spans="1:29" s="12" customFormat="1" hidden="1" x14ac:dyDescent="0.3">
      <c r="A451" s="169"/>
      <c r="B451" s="169"/>
      <c r="C451" s="169"/>
      <c r="D451" s="169"/>
      <c r="E451" s="169"/>
      <c r="F451" s="169"/>
      <c r="G451" s="169"/>
      <c r="H451" s="169"/>
      <c r="I451" s="169"/>
      <c r="J451" s="169"/>
      <c r="K451" s="169"/>
      <c r="L451" s="169"/>
      <c r="M451" s="169"/>
      <c r="N451" s="169"/>
      <c r="O451" s="169"/>
      <c r="P451" s="169"/>
      <c r="Q451" s="169"/>
      <c r="R451" s="169"/>
      <c r="S451" s="169"/>
      <c r="T451" s="169"/>
      <c r="U451" s="169"/>
      <c r="V451" s="169"/>
      <c r="W451" s="169"/>
      <c r="X451" s="169"/>
      <c r="Y451" s="169"/>
      <c r="Z451" s="169"/>
      <c r="AA451" s="169"/>
      <c r="AB451" s="169"/>
      <c r="AC451" s="169"/>
    </row>
    <row r="452" spans="1:29" s="12" customFormat="1" hidden="1" x14ac:dyDescent="0.3">
      <c r="A452" s="169"/>
      <c r="B452" s="169"/>
      <c r="C452" s="169"/>
      <c r="D452" s="169"/>
      <c r="E452" s="169"/>
      <c r="F452" s="169"/>
      <c r="G452" s="169"/>
      <c r="H452" s="169"/>
      <c r="I452" s="169"/>
      <c r="J452" s="169"/>
      <c r="K452" s="169"/>
      <c r="L452" s="169"/>
      <c r="M452" s="169"/>
      <c r="N452" s="169"/>
      <c r="O452" s="169"/>
      <c r="P452" s="169"/>
      <c r="Q452" s="169"/>
      <c r="R452" s="169"/>
      <c r="S452" s="169"/>
      <c r="T452" s="169"/>
      <c r="U452" s="169"/>
      <c r="V452" s="169"/>
      <c r="W452" s="169"/>
      <c r="X452" s="169"/>
      <c r="Y452" s="169"/>
      <c r="Z452" s="169"/>
      <c r="AA452" s="169"/>
      <c r="AB452" s="169"/>
      <c r="AC452" s="169"/>
    </row>
    <row r="453" spans="1:29" s="12" customFormat="1" hidden="1" x14ac:dyDescent="0.3">
      <c r="A453" s="169"/>
      <c r="B453" s="169"/>
      <c r="C453" s="169"/>
      <c r="D453" s="169"/>
      <c r="E453" s="169"/>
      <c r="F453" s="169"/>
      <c r="G453" s="169"/>
      <c r="H453" s="169"/>
      <c r="I453" s="169"/>
      <c r="J453" s="169"/>
      <c r="K453" s="169"/>
      <c r="L453" s="169"/>
      <c r="M453" s="169"/>
      <c r="N453" s="169"/>
      <c r="O453" s="169"/>
      <c r="P453" s="169"/>
      <c r="Q453" s="169"/>
      <c r="R453" s="169"/>
      <c r="S453" s="169"/>
      <c r="T453" s="169"/>
      <c r="U453" s="169"/>
      <c r="V453" s="169"/>
      <c r="W453" s="169"/>
      <c r="X453" s="169"/>
      <c r="Y453" s="169"/>
      <c r="Z453" s="169"/>
      <c r="AA453" s="169"/>
      <c r="AB453" s="169"/>
      <c r="AC453" s="169"/>
    </row>
    <row r="454" spans="1:29" ht="14.4" customHeight="1" x14ac:dyDescent="0.3">
      <c r="A454" s="178"/>
      <c r="B454" s="178"/>
      <c r="C454" s="178"/>
      <c r="D454" s="178"/>
      <c r="E454" s="178"/>
      <c r="F454" s="178"/>
      <c r="G454" s="178"/>
      <c r="H454" s="178"/>
      <c r="I454" s="178"/>
      <c r="J454" s="178"/>
      <c r="K454" s="178"/>
      <c r="L454" s="178"/>
      <c r="M454" s="178"/>
      <c r="N454" s="178"/>
      <c r="O454" s="178"/>
      <c r="P454" s="178"/>
      <c r="Q454" s="178"/>
      <c r="R454" s="178"/>
      <c r="S454" s="178"/>
      <c r="T454" s="178"/>
      <c r="U454" s="178"/>
      <c r="V454" s="178"/>
      <c r="W454" s="178"/>
      <c r="X454" s="178"/>
      <c r="Y454" s="178"/>
      <c r="Z454" s="178"/>
      <c r="AA454" s="178"/>
      <c r="AB454" s="178"/>
      <c r="AC454" s="178"/>
    </row>
    <row r="455" spans="1:29" ht="14.4" customHeight="1" x14ac:dyDescent="0.3">
      <c r="A455" s="178"/>
      <c r="B455" s="178"/>
      <c r="C455" s="178"/>
      <c r="D455" s="178"/>
      <c r="E455" s="178"/>
      <c r="F455" s="178"/>
      <c r="G455" s="178"/>
      <c r="H455" s="178"/>
      <c r="I455" s="178"/>
      <c r="J455" s="178"/>
      <c r="K455" s="178"/>
      <c r="L455" s="178"/>
      <c r="M455" s="178"/>
      <c r="N455" s="178"/>
      <c r="O455" s="178"/>
      <c r="P455" s="178"/>
      <c r="Q455" s="178"/>
      <c r="R455" s="178"/>
      <c r="S455" s="178"/>
      <c r="T455" s="178"/>
      <c r="U455" s="178"/>
      <c r="V455" s="178"/>
      <c r="W455" s="178"/>
      <c r="X455" s="178"/>
      <c r="Y455" s="178"/>
      <c r="Z455" s="178"/>
      <c r="AA455" s="178"/>
      <c r="AB455" s="178"/>
      <c r="AC455" s="178"/>
    </row>
    <row r="456" spans="1:29" ht="14.4" customHeight="1" x14ac:dyDescent="0.3"/>
  </sheetData>
  <sheetProtection algorithmName="SHA-512" hashValue="PyBqdJbd8ZvXZBju2I2xJMqxWemO9Tl2emRrpq5SnOGYYhsAi01fRR7VTocb2moHDzetaKCrSlUbwvLrBP0ppw==" saltValue="SQ1qQ3C/z8wopypWoxbYfQ==" spinCount="100000" sheet="1" objects="1" scenarios="1" selectLockedCells="1"/>
  <mergeCells count="3">
    <mergeCell ref="A1:X1"/>
    <mergeCell ref="Y1:AA1"/>
    <mergeCell ref="A2:AC2"/>
  </mergeCells>
  <hyperlinks>
    <hyperlink ref="Y1:AA1" location="'Front Page'!A1" display="Return to Contents" xr:uid="{00000000-0004-0000-0400-000000000000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62"/>
  <sheetViews>
    <sheetView showGridLines="0" topLeftCell="A3" zoomScale="80" zoomScaleNormal="80" workbookViewId="0">
      <selection activeCell="B3" sqref="B3"/>
    </sheetView>
  </sheetViews>
  <sheetFormatPr defaultColWidth="0" defaultRowHeight="0" customHeight="1" zeroHeight="1" x14ac:dyDescent="0.3"/>
  <cols>
    <col min="1" max="1" width="4" style="178" customWidth="1"/>
    <col min="2" max="2" width="60.109375" style="178" customWidth="1"/>
    <col min="3" max="3" width="11.6640625" style="178" customWidth="1"/>
    <col min="4" max="4" width="7.6640625" style="178" customWidth="1"/>
    <col min="5" max="5" width="10" style="178" customWidth="1"/>
    <col min="6" max="7" width="12" style="178" customWidth="1"/>
    <col min="8" max="8" width="5.109375" style="448" customWidth="1"/>
    <col min="9" max="9" width="6.88671875" style="178" customWidth="1"/>
    <col min="10" max="10" width="5.109375" style="448" customWidth="1"/>
    <col min="11" max="11" width="6.88671875" style="178" customWidth="1"/>
    <col min="12" max="12" width="5.109375" style="448" customWidth="1"/>
    <col min="13" max="13" width="6.88671875" style="178" customWidth="1"/>
    <col min="14" max="14" width="5.109375" style="448" customWidth="1"/>
    <col min="15" max="15" width="6.88671875" style="178" customWidth="1"/>
    <col min="16" max="16" width="11.5546875" style="178" customWidth="1"/>
    <col min="17" max="17" width="5.109375" style="448" customWidth="1"/>
    <col min="18" max="18" width="6.88671875" style="178" customWidth="1"/>
    <col min="19" max="19" width="5.109375" style="448" customWidth="1"/>
    <col min="20" max="20" width="6.88671875" style="178" customWidth="1"/>
    <col min="21" max="21" width="5.109375" style="448" customWidth="1"/>
    <col min="22" max="22" width="6.88671875" style="178" customWidth="1"/>
    <col min="23" max="23" width="5.109375" style="448" customWidth="1"/>
    <col min="24" max="24" width="6.88671875" style="178" customWidth="1"/>
    <col min="25" max="25" width="11.5546875" style="178" customWidth="1"/>
    <col min="26" max="27" width="10.6640625" style="178" customWidth="1"/>
    <col min="28" max="28" width="9.109375" style="178" customWidth="1"/>
    <col min="29" max="30" width="0" style="33" hidden="1" customWidth="1"/>
    <col min="31" max="16384" width="9.109375" style="33" hidden="1"/>
  </cols>
  <sheetData>
    <row r="1" spans="1:28" ht="35.25" customHeight="1" x14ac:dyDescent="0.3">
      <c r="A1" s="10"/>
      <c r="B1" s="96" t="s">
        <v>101</v>
      </c>
      <c r="C1" s="83"/>
      <c r="D1" s="83"/>
      <c r="E1" s="83"/>
      <c r="F1" s="83"/>
      <c r="G1" s="83"/>
      <c r="H1" s="116"/>
      <c r="I1" s="83"/>
      <c r="J1" s="116"/>
      <c r="K1" s="83"/>
      <c r="L1" s="116"/>
      <c r="M1" s="83"/>
      <c r="N1" s="116"/>
      <c r="O1" s="83"/>
      <c r="P1" s="83"/>
      <c r="Q1" s="116"/>
      <c r="R1" s="83"/>
      <c r="S1" s="116"/>
      <c r="T1" s="83"/>
      <c r="U1" s="116"/>
      <c r="V1" s="83"/>
      <c r="W1" s="116"/>
      <c r="X1" s="83"/>
      <c r="Y1" s="83"/>
      <c r="Z1" s="83"/>
      <c r="AA1" s="83"/>
      <c r="AB1" s="83"/>
    </row>
    <row r="2" spans="1:28" s="41" customFormat="1" ht="5.0999999999999996" customHeight="1" x14ac:dyDescent="0.3">
      <c r="B2" s="123"/>
      <c r="C2" s="124"/>
      <c r="D2" s="124"/>
      <c r="E2" s="124"/>
      <c r="F2" s="124"/>
      <c r="G2" s="124"/>
      <c r="H2" s="125"/>
      <c r="I2" s="124"/>
      <c r="J2" s="125"/>
      <c r="K2" s="124"/>
      <c r="L2" s="125"/>
      <c r="M2" s="124"/>
      <c r="N2" s="125"/>
      <c r="O2" s="124"/>
      <c r="P2" s="124"/>
      <c r="Q2" s="125"/>
      <c r="R2" s="124"/>
      <c r="S2" s="125"/>
      <c r="T2" s="124"/>
      <c r="U2" s="125"/>
      <c r="V2" s="124"/>
      <c r="W2" s="125"/>
      <c r="X2" s="124"/>
      <c r="Y2" s="124"/>
      <c r="AB2" s="124"/>
    </row>
    <row r="3" spans="1:28" s="92" customFormat="1" ht="31.5" customHeight="1" x14ac:dyDescent="0.35">
      <c r="B3" s="449" t="s">
        <v>95</v>
      </c>
      <c r="C3" s="93"/>
      <c r="D3" s="93"/>
      <c r="E3" s="93"/>
      <c r="F3" s="93"/>
      <c r="H3" s="117"/>
      <c r="I3" s="93"/>
      <c r="J3" s="117"/>
      <c r="K3" s="93"/>
      <c r="L3" s="117"/>
      <c r="M3" s="94"/>
      <c r="N3" s="117"/>
      <c r="O3" s="94"/>
      <c r="P3" s="94"/>
      <c r="Q3" s="117"/>
      <c r="R3" s="94"/>
      <c r="S3" s="117"/>
      <c r="T3" s="94"/>
      <c r="U3" s="117"/>
      <c r="V3" s="94"/>
      <c r="W3" s="117"/>
      <c r="X3" s="94"/>
      <c r="Y3" s="94"/>
      <c r="Z3" s="93"/>
      <c r="AA3" s="95"/>
    </row>
    <row r="4" spans="1:28" ht="35.4" customHeight="1" thickBot="1" x14ac:dyDescent="0.5">
      <c r="B4" s="127" t="s">
        <v>205</v>
      </c>
      <c r="C4" s="13"/>
      <c r="D4" s="13"/>
      <c r="E4" s="13"/>
      <c r="F4" s="42"/>
      <c r="G4" s="13"/>
      <c r="H4" s="118"/>
      <c r="I4" s="13"/>
      <c r="J4" s="118"/>
      <c r="K4" s="13"/>
      <c r="L4" s="118"/>
      <c r="M4" s="14"/>
      <c r="N4" s="118"/>
      <c r="O4" s="14"/>
      <c r="P4" s="14"/>
      <c r="Q4" s="118"/>
      <c r="R4" s="14"/>
      <c r="S4" s="118"/>
      <c r="T4" s="14"/>
      <c r="U4" s="118"/>
      <c r="V4" s="14"/>
      <c r="W4" s="118"/>
      <c r="X4" s="14"/>
      <c r="Y4" s="14"/>
      <c r="Z4" s="13"/>
      <c r="AA4" s="15"/>
    </row>
    <row r="5" spans="1:28" ht="30.75" customHeight="1" thickTop="1" thickBot="1" x14ac:dyDescent="0.35">
      <c r="B5" s="327" t="s">
        <v>14</v>
      </c>
      <c r="C5" s="328" t="s">
        <v>18</v>
      </c>
      <c r="D5" s="328" t="s">
        <v>65</v>
      </c>
      <c r="E5" s="328" t="s">
        <v>19</v>
      </c>
      <c r="F5" s="288" t="s">
        <v>24</v>
      </c>
      <c r="G5" s="289"/>
      <c r="H5" s="288" t="s">
        <v>27</v>
      </c>
      <c r="I5" s="294"/>
      <c r="J5" s="294"/>
      <c r="K5" s="294"/>
      <c r="L5" s="294"/>
      <c r="M5" s="294"/>
      <c r="N5" s="294"/>
      <c r="O5" s="294"/>
      <c r="P5" s="294"/>
      <c r="Q5" s="294"/>
      <c r="R5" s="294"/>
      <c r="S5" s="294"/>
      <c r="T5" s="294"/>
      <c r="U5" s="294"/>
      <c r="V5" s="294"/>
      <c r="W5" s="294"/>
      <c r="X5" s="294"/>
      <c r="Y5" s="294"/>
      <c r="Z5" s="288" t="s">
        <v>3</v>
      </c>
      <c r="AA5" s="289"/>
    </row>
    <row r="6" spans="1:28" ht="44.1" customHeight="1" thickTop="1" thickBot="1" x14ac:dyDescent="0.35">
      <c r="B6" s="327"/>
      <c r="C6" s="329"/>
      <c r="D6" s="329"/>
      <c r="E6" s="329"/>
      <c r="F6" s="290" t="s">
        <v>25</v>
      </c>
      <c r="G6" s="292" t="s">
        <v>26</v>
      </c>
      <c r="H6" s="288" t="s">
        <v>32</v>
      </c>
      <c r="I6" s="294"/>
      <c r="J6" s="294"/>
      <c r="K6" s="294"/>
      <c r="L6" s="294"/>
      <c r="M6" s="294"/>
      <c r="N6" s="294"/>
      <c r="O6" s="294"/>
      <c r="P6" s="294"/>
      <c r="Q6" s="288" t="s">
        <v>31</v>
      </c>
      <c r="R6" s="294"/>
      <c r="S6" s="294"/>
      <c r="T6" s="294"/>
      <c r="U6" s="294"/>
      <c r="V6" s="294"/>
      <c r="W6" s="294"/>
      <c r="X6" s="294"/>
      <c r="Y6" s="294"/>
      <c r="Z6" s="290" t="s">
        <v>9</v>
      </c>
      <c r="AA6" s="292" t="s">
        <v>17</v>
      </c>
    </row>
    <row r="7" spans="1:28" ht="49.5" customHeight="1" thickTop="1" thickBot="1" x14ac:dyDescent="0.35">
      <c r="B7" s="327"/>
      <c r="C7" s="330"/>
      <c r="D7" s="330"/>
      <c r="E7" s="330"/>
      <c r="F7" s="291"/>
      <c r="G7" s="293"/>
      <c r="H7" s="295" t="s">
        <v>117</v>
      </c>
      <c r="I7" s="296"/>
      <c r="J7" s="297" t="s">
        <v>28</v>
      </c>
      <c r="K7" s="297"/>
      <c r="L7" s="297" t="s">
        <v>29</v>
      </c>
      <c r="M7" s="297"/>
      <c r="N7" s="298" t="s">
        <v>30</v>
      </c>
      <c r="O7" s="297"/>
      <c r="P7" s="276" t="s">
        <v>118</v>
      </c>
      <c r="Q7" s="295" t="s">
        <v>117</v>
      </c>
      <c r="R7" s="296"/>
      <c r="S7" s="297" t="s">
        <v>28</v>
      </c>
      <c r="T7" s="297"/>
      <c r="U7" s="297" t="s">
        <v>29</v>
      </c>
      <c r="V7" s="297"/>
      <c r="W7" s="298" t="s">
        <v>30</v>
      </c>
      <c r="X7" s="297"/>
      <c r="Y7" s="276" t="s">
        <v>118</v>
      </c>
      <c r="Z7" s="291"/>
      <c r="AA7" s="293"/>
    </row>
    <row r="8" spans="1:28" s="8" customFormat="1" ht="21.75" customHeight="1" thickTop="1" thickBot="1" x14ac:dyDescent="0.35">
      <c r="A8" s="420"/>
      <c r="B8" s="421" t="str">
        <f>INDEX(Q2_Adult,14,2)</f>
        <v>Bristol, Bristol Heart Institute / Bristol Royal Hospital for Children</v>
      </c>
      <c r="C8" s="421" t="s">
        <v>20</v>
      </c>
      <c r="D8" s="422">
        <v>1</v>
      </c>
      <c r="E8" s="421" t="s">
        <v>21</v>
      </c>
      <c r="F8" s="64">
        <f>INDEX(Q2_Adult,14,7)</f>
        <v>34</v>
      </c>
      <c r="G8" s="70">
        <f>INDEX(Q2_Adult,14,8)</f>
        <v>0</v>
      </c>
      <c r="H8" s="210">
        <f>INDEX(Q2_Adult,14,9)</f>
        <v>471</v>
      </c>
      <c r="I8" s="200">
        <f>IFERROR(H8/P8,0)</f>
        <v>0.50374331550802143</v>
      </c>
      <c r="J8" s="201">
        <f>INDEX(Q2_Adult,14,10)</f>
        <v>334</v>
      </c>
      <c r="K8" s="200">
        <f>IFERROR(J8/P8,0)</f>
        <v>0.35721925133689841</v>
      </c>
      <c r="L8" s="201">
        <f>INDEX(Q2_Adult,14,11)</f>
        <v>115</v>
      </c>
      <c r="M8" s="200">
        <f>IFERROR(L8/P8,0)</f>
        <v>0.12299465240641712</v>
      </c>
      <c r="N8" s="201">
        <f>INDEX(Q2_Adult,14,12)</f>
        <v>15</v>
      </c>
      <c r="O8" s="200">
        <f>IFERROR(N8/P8,0)</f>
        <v>1.6042780748663103E-2</v>
      </c>
      <c r="P8" s="202">
        <f>INDEX(Q2_Adult,14,13)</f>
        <v>935</v>
      </c>
      <c r="Q8" s="199">
        <f>INDEX(Q2_Adult,14,15)</f>
        <v>0</v>
      </c>
      <c r="R8" s="200">
        <f>IFERROR(Q8/Y8,0)</f>
        <v>0</v>
      </c>
      <c r="S8" s="201">
        <f>INDEX(Q2_Adult,14,16)</f>
        <v>0</v>
      </c>
      <c r="T8" s="200">
        <f>IFERROR(S8/Y8,0)</f>
        <v>0</v>
      </c>
      <c r="U8" s="423">
        <f>INDEX(Q2_Adult,14,17)</f>
        <v>0</v>
      </c>
      <c r="V8" s="200">
        <f>IFERROR(U8/Y8,0)</f>
        <v>0</v>
      </c>
      <c r="W8" s="201">
        <f>INDEX(Q2_Adult,14,18)</f>
        <v>0</v>
      </c>
      <c r="X8" s="200">
        <f>IFERROR(W8/Y8,0)</f>
        <v>0</v>
      </c>
      <c r="Y8" s="113">
        <f>INDEX(Q2_Adult,14,19)</f>
        <v>0</v>
      </c>
      <c r="Z8" s="66">
        <f>INDEX(Q2_Adult,14,21)</f>
        <v>0.23100000000000001</v>
      </c>
      <c r="AA8" s="67">
        <f>INDEX(Q2_Adult,14,22)</f>
        <v>0</v>
      </c>
      <c r="AB8" s="420"/>
    </row>
    <row r="9" spans="1:28" s="8" customFormat="1" ht="21.75" customHeight="1" thickTop="1" thickBot="1" x14ac:dyDescent="0.35">
      <c r="A9" s="420"/>
      <c r="B9" s="424" t="str">
        <f>INDEX(Q2_Adult,6,2)</f>
        <v>Cardiff &amp; Vale UHB, Noah’s Ark / University Hospital Wales</v>
      </c>
      <c r="C9" s="424" t="s">
        <v>20</v>
      </c>
      <c r="D9" s="425">
        <v>2</v>
      </c>
      <c r="E9" s="424" t="s">
        <v>22</v>
      </c>
      <c r="F9" s="65">
        <f>INDEX(Q2_Adult,6,7)</f>
        <v>24</v>
      </c>
      <c r="G9" s="71">
        <f>INDEX(Q2_Adult,6,8)</f>
        <v>0</v>
      </c>
      <c r="H9" s="204">
        <f>INDEX(Q2_Adult,6,9)</f>
        <v>13</v>
      </c>
      <c r="I9" s="205">
        <f>IFERROR(H9/P9,0)</f>
        <v>0.17808219178082191</v>
      </c>
      <c r="J9" s="206">
        <f>INDEX(Q2_Adult,6,10)</f>
        <v>3</v>
      </c>
      <c r="K9" s="205">
        <f>IFERROR(J9/P9,0)</f>
        <v>4.1095890410958902E-2</v>
      </c>
      <c r="L9" s="206">
        <f>INDEX(Q2_Adult,6,11)</f>
        <v>37</v>
      </c>
      <c r="M9" s="205">
        <f>IFERROR(L9/P9,0)</f>
        <v>0.50684931506849318</v>
      </c>
      <c r="N9" s="206">
        <f>INDEX(Q2_Adult,6,12)</f>
        <v>20</v>
      </c>
      <c r="O9" s="205">
        <f>IFERROR(N9/P9,0)</f>
        <v>0.27397260273972601</v>
      </c>
      <c r="P9" s="207">
        <f>INDEX(Q2_Adult,6,13)</f>
        <v>73</v>
      </c>
      <c r="Q9" s="208">
        <f>INDEX(Q2_Adult,6,15)</f>
        <v>0</v>
      </c>
      <c r="R9" s="205">
        <f>IFERROR(Q9/Y9,0)</f>
        <v>0</v>
      </c>
      <c r="S9" s="206">
        <f>INDEX(Q2_Adult,6,16)</f>
        <v>0</v>
      </c>
      <c r="T9" s="205">
        <f>IFERROR(S9/Y9,0)</f>
        <v>0</v>
      </c>
      <c r="U9" s="426">
        <f>INDEX(Q2_Adult,6,17)</f>
        <v>0</v>
      </c>
      <c r="V9" s="205">
        <f>IFERROR(U9/Y9,0)</f>
        <v>0</v>
      </c>
      <c r="W9" s="206">
        <f>INDEX(Q2_Adult,6,18)</f>
        <v>0</v>
      </c>
      <c r="X9" s="205">
        <f>IFERROR(W9/Y9,0)</f>
        <v>0</v>
      </c>
      <c r="Y9" s="114">
        <f>INDEX(Q2_Adult,6,19)</f>
        <v>0</v>
      </c>
      <c r="Z9" s="68">
        <f>INDEX(Q2_Adult,6,21)</f>
        <v>0.15</v>
      </c>
      <c r="AA9" s="69">
        <f>INDEX(Q2_Adult,6,22)</f>
        <v>0</v>
      </c>
      <c r="AB9" s="420"/>
    </row>
    <row r="10" spans="1:28" s="82" customFormat="1" ht="21.75" customHeight="1" thickTop="1" thickBot="1" x14ac:dyDescent="0.35">
      <c r="A10" s="427"/>
      <c r="B10" s="421" t="str">
        <f>INDEX(Q2_Adult,5,2)</f>
        <v>Aneurin Bevan UHB, Nevill Hall &amp; Royal Gwent Hospitals</v>
      </c>
      <c r="C10" s="421" t="s">
        <v>20</v>
      </c>
      <c r="D10" s="422">
        <v>3</v>
      </c>
      <c r="E10" s="421" t="s">
        <v>22</v>
      </c>
      <c r="F10" s="64">
        <f>INDEX(Q2_Adult,5,7)</f>
        <v>0</v>
      </c>
      <c r="G10" s="70">
        <f>INDEX(Q2_Adult,5,8)</f>
        <v>0</v>
      </c>
      <c r="H10" s="210">
        <f>INDEX(Q2_Adult,5,9)</f>
        <v>0</v>
      </c>
      <c r="I10" s="200">
        <f>IFERROR(H10/P10,0)</f>
        <v>0</v>
      </c>
      <c r="J10" s="201">
        <f>INDEX(Q2_Adult,5,10)</f>
        <v>0</v>
      </c>
      <c r="K10" s="200">
        <f>IFERROR(J10/P10,0)</f>
        <v>0</v>
      </c>
      <c r="L10" s="201">
        <f>INDEX(Q2_Adult,5,11)</f>
        <v>0</v>
      </c>
      <c r="M10" s="200">
        <f>IFERROR(L10/P10,0)</f>
        <v>0</v>
      </c>
      <c r="N10" s="201">
        <f>INDEX(Q2_Adult,5,12)</f>
        <v>0</v>
      </c>
      <c r="O10" s="200">
        <f>IFERROR(N10/P10,0)</f>
        <v>0</v>
      </c>
      <c r="P10" s="202">
        <f>INDEX(Q2_Adult,5,13)</f>
        <v>0</v>
      </c>
      <c r="Q10" s="199">
        <f>INDEX(Q2_Adult,5,15)</f>
        <v>20</v>
      </c>
      <c r="R10" s="200">
        <f>IFERROR(Q10/Y10,0)</f>
        <v>8.6206896551724144E-2</v>
      </c>
      <c r="S10" s="201">
        <f>INDEX(Q2_Adult,5,16)</f>
        <v>27</v>
      </c>
      <c r="T10" s="200">
        <f>IFERROR(S10/Y10,0)</f>
        <v>0.11637931034482758</v>
      </c>
      <c r="U10" s="423">
        <f>INDEX(Q2_Adult,5,17)</f>
        <v>77</v>
      </c>
      <c r="V10" s="200">
        <f>IFERROR(U10/Y10,0)</f>
        <v>0.33189655172413796</v>
      </c>
      <c r="W10" s="201">
        <f>INDEX(Q2_Adult,5,18)</f>
        <v>108</v>
      </c>
      <c r="X10" s="200">
        <f>IFERROR(W10/Y10,0)</f>
        <v>0.46551724137931033</v>
      </c>
      <c r="Y10" s="113">
        <f>INDEX(Q2_Adult,5,19)</f>
        <v>232</v>
      </c>
      <c r="Z10" s="66">
        <f>INDEX(Q2_Adult,5,21)</f>
        <v>0</v>
      </c>
      <c r="AA10" s="67">
        <f>INDEX(Q2_Adult,5,22)</f>
        <v>0</v>
      </c>
      <c r="AB10" s="427"/>
    </row>
    <row r="11" spans="1:28" s="8" customFormat="1" ht="21.75" customHeight="1" thickTop="1" thickBot="1" x14ac:dyDescent="0.35">
      <c r="A11" s="420"/>
      <c r="B11" s="424" t="str">
        <f>INDEX(Q2_Adult,7,2)</f>
        <v>Cwm Taf Morgannwg UHB, Princess of Wales Hospital</v>
      </c>
      <c r="C11" s="424" t="s">
        <v>20</v>
      </c>
      <c r="D11" s="425">
        <v>3</v>
      </c>
      <c r="E11" s="424" t="s">
        <v>22</v>
      </c>
      <c r="F11" s="65">
        <f>INDEX(Q2_Adult,7,7)</f>
        <v>0</v>
      </c>
      <c r="G11" s="71">
        <f>INDEX(Q2_Adult,7,8)</f>
        <v>0</v>
      </c>
      <c r="H11" s="204">
        <f>INDEX(Q2_Adult,7,9)</f>
        <v>0</v>
      </c>
      <c r="I11" s="205">
        <f t="shared" ref="I11:I24" si="0">IFERROR(H11/P11,0)</f>
        <v>0</v>
      </c>
      <c r="J11" s="206">
        <f>INDEX(Q2_Adult,7,10)</f>
        <v>0</v>
      </c>
      <c r="K11" s="205">
        <f t="shared" ref="K11:K24" si="1">IFERROR(J11/P11,0)</f>
        <v>0</v>
      </c>
      <c r="L11" s="206">
        <f>INDEX(Q2_Adult,7,11)</f>
        <v>0</v>
      </c>
      <c r="M11" s="205">
        <f t="shared" ref="M11:M24" si="2">IFERROR(L11/P11,0)</f>
        <v>0</v>
      </c>
      <c r="N11" s="206">
        <f>INDEX(Q2_Adult,7,12)</f>
        <v>0</v>
      </c>
      <c r="O11" s="205">
        <f t="shared" ref="O11:O24" si="3">IFERROR(N11/P11,0)</f>
        <v>0</v>
      </c>
      <c r="P11" s="207">
        <f>INDEX(Q2_Adult,7,13)</f>
        <v>0</v>
      </c>
      <c r="Q11" s="208">
        <f>INDEX(Q2_Adult,7,15)</f>
        <v>34</v>
      </c>
      <c r="R11" s="205">
        <f t="shared" ref="R11:R24" si="4">IFERROR(Q11/Y11,0)</f>
        <v>0.13178294573643412</v>
      </c>
      <c r="S11" s="206">
        <f>INDEX(Q2_Adult,7,16)</f>
        <v>36</v>
      </c>
      <c r="T11" s="205">
        <f t="shared" ref="T11:T24" si="5">IFERROR(S11/Y11,0)</f>
        <v>0.13953488372093023</v>
      </c>
      <c r="U11" s="426">
        <f>INDEX(Q2_Adult,7,17)</f>
        <v>22</v>
      </c>
      <c r="V11" s="205">
        <f t="shared" ref="V11:V24" si="6">IFERROR(U11/Y11,0)</f>
        <v>8.5271317829457363E-2</v>
      </c>
      <c r="W11" s="206">
        <f>INDEX(Q2_Adult,7,18)</f>
        <v>166</v>
      </c>
      <c r="X11" s="205">
        <f t="shared" ref="X11:X24" si="7">IFERROR(W11/Y11,0)</f>
        <v>0.64341085271317833</v>
      </c>
      <c r="Y11" s="114">
        <f>INDEX(Q2_Adult,7,19)</f>
        <v>258</v>
      </c>
      <c r="Z11" s="68">
        <f>INDEX(Q2_Adult,7,21)</f>
        <v>0</v>
      </c>
      <c r="AA11" s="69">
        <f>INDEX(Q2_Adult,7,22)</f>
        <v>0</v>
      </c>
      <c r="AB11" s="420"/>
    </row>
    <row r="12" spans="1:28" s="8" customFormat="1" ht="21.75" customHeight="1" thickTop="1" thickBot="1" x14ac:dyDescent="0.35">
      <c r="A12" s="420"/>
      <c r="B12" s="421" t="str">
        <f>INDEX(Q2_Adult,8,2)</f>
        <v xml:space="preserve">Cwm Taf Morgannwg UHB, Royal Glamorgan Hospital </v>
      </c>
      <c r="C12" s="421" t="s">
        <v>20</v>
      </c>
      <c r="D12" s="422">
        <v>3</v>
      </c>
      <c r="E12" s="421" t="s">
        <v>22</v>
      </c>
      <c r="F12" s="64">
        <f>INDEX(Q2_Adult,8,7)</f>
        <v>0</v>
      </c>
      <c r="G12" s="70">
        <f>INDEX(Q2_Adult,8,8)</f>
        <v>0</v>
      </c>
      <c r="H12" s="210">
        <f>INDEX(Q2_Adult,8,9)</f>
        <v>0</v>
      </c>
      <c r="I12" s="200">
        <f t="shared" si="0"/>
        <v>0</v>
      </c>
      <c r="J12" s="201">
        <f>INDEX(Q2_Adult,8,10)</f>
        <v>0</v>
      </c>
      <c r="K12" s="200">
        <f t="shared" si="1"/>
        <v>0</v>
      </c>
      <c r="L12" s="201">
        <f>INDEX(Q2_Adult,8,11)</f>
        <v>0</v>
      </c>
      <c r="M12" s="200">
        <f t="shared" si="2"/>
        <v>0</v>
      </c>
      <c r="N12" s="201">
        <f>INDEX(Q2_Adult,8,12)</f>
        <v>0</v>
      </c>
      <c r="O12" s="200">
        <f t="shared" si="3"/>
        <v>0</v>
      </c>
      <c r="P12" s="202">
        <f>INDEX(Q2_Adult,8,13)</f>
        <v>0</v>
      </c>
      <c r="Q12" s="199">
        <f>INDEX(Q2_Adult,8,15)</f>
        <v>0</v>
      </c>
      <c r="R12" s="200">
        <f t="shared" si="4"/>
        <v>0</v>
      </c>
      <c r="S12" s="201">
        <f>INDEX(Q2_Adult,8,16)</f>
        <v>0</v>
      </c>
      <c r="T12" s="200">
        <f t="shared" si="5"/>
        <v>0</v>
      </c>
      <c r="U12" s="423">
        <f>INDEX(Q2_Adult,8,17)</f>
        <v>0</v>
      </c>
      <c r="V12" s="200">
        <f t="shared" si="6"/>
        <v>0</v>
      </c>
      <c r="W12" s="201">
        <f>INDEX(Q2_Adult,8,18)</f>
        <v>0</v>
      </c>
      <c r="X12" s="200">
        <f t="shared" si="7"/>
        <v>0</v>
      </c>
      <c r="Y12" s="113">
        <f>INDEX(Q2_Adult,8,19)</f>
        <v>0</v>
      </c>
      <c r="Z12" s="66">
        <f>INDEX(Q2_Adult,8,21)</f>
        <v>0.13</v>
      </c>
      <c r="AA12" s="67">
        <f>INDEX(Q2_Adult,8,22)</f>
        <v>0</v>
      </c>
      <c r="AB12" s="420"/>
    </row>
    <row r="13" spans="1:28" s="8" customFormat="1" ht="21.75" customHeight="1" thickTop="1" thickBot="1" x14ac:dyDescent="0.35">
      <c r="A13" s="420"/>
      <c r="B13" s="424" t="str">
        <f>INDEX(Q2_Adult,9,2)</f>
        <v>Cwm Taf Morgannwg UHB, Prince Charles Hospital</v>
      </c>
      <c r="C13" s="424" t="s">
        <v>20</v>
      </c>
      <c r="D13" s="425">
        <v>3</v>
      </c>
      <c r="E13" s="424" t="s">
        <v>22</v>
      </c>
      <c r="F13" s="65">
        <f>INDEX(Q2_Adult,9,7)</f>
        <v>0</v>
      </c>
      <c r="G13" s="71">
        <f>INDEX(Q2_Adult,9,8)</f>
        <v>0</v>
      </c>
      <c r="H13" s="204">
        <f>INDEX(Q2_Adult,9,9)</f>
        <v>0</v>
      </c>
      <c r="I13" s="205">
        <f t="shared" si="0"/>
        <v>0</v>
      </c>
      <c r="J13" s="206">
        <f>INDEX(Q2_Adult,9,10)</f>
        <v>0</v>
      </c>
      <c r="K13" s="205">
        <f t="shared" si="1"/>
        <v>0</v>
      </c>
      <c r="L13" s="206">
        <f>INDEX(Q2_Adult,9,11)</f>
        <v>0</v>
      </c>
      <c r="M13" s="205">
        <f t="shared" si="2"/>
        <v>0</v>
      </c>
      <c r="N13" s="206">
        <f>INDEX(Q2_Adult,9,12)</f>
        <v>0</v>
      </c>
      <c r="O13" s="205">
        <f t="shared" si="3"/>
        <v>0</v>
      </c>
      <c r="P13" s="207">
        <f>INDEX(Q2_Adult,9,13)</f>
        <v>0</v>
      </c>
      <c r="Q13" s="208">
        <f>INDEX(Q2_Adult,9,15)</f>
        <v>0</v>
      </c>
      <c r="R13" s="205">
        <f t="shared" si="4"/>
        <v>0</v>
      </c>
      <c r="S13" s="206">
        <f>INDEX(Q2_Adult,9,16)</f>
        <v>0</v>
      </c>
      <c r="T13" s="205">
        <f t="shared" si="5"/>
        <v>0</v>
      </c>
      <c r="U13" s="426">
        <f>INDEX(Q2_Adult,9,17)</f>
        <v>0</v>
      </c>
      <c r="V13" s="205">
        <f t="shared" si="6"/>
        <v>0</v>
      </c>
      <c r="W13" s="206">
        <f>INDEX(Q2_Adult,9,18)</f>
        <v>0</v>
      </c>
      <c r="X13" s="205">
        <f t="shared" si="7"/>
        <v>0</v>
      </c>
      <c r="Y13" s="114">
        <f>INDEX(Q2_Adult,9,19)</f>
        <v>0</v>
      </c>
      <c r="Z13" s="68">
        <f>INDEX(Q2_Adult,9,21)</f>
        <v>0</v>
      </c>
      <c r="AA13" s="69">
        <f>INDEX(Q2_Adult,9,22)</f>
        <v>0</v>
      </c>
      <c r="AB13" s="420"/>
    </row>
    <row r="14" spans="1:28" s="8" customFormat="1" ht="21.75" customHeight="1" thickTop="1" thickBot="1" x14ac:dyDescent="0.35">
      <c r="A14" s="420"/>
      <c r="B14" s="421" t="str">
        <f>INDEX(Q2_Adult,10,2)</f>
        <v>Hywel Dda UHB, Glangwilli Hospital</v>
      </c>
      <c r="C14" s="421" t="s">
        <v>20</v>
      </c>
      <c r="D14" s="422">
        <v>3</v>
      </c>
      <c r="E14" s="421" t="s">
        <v>22</v>
      </c>
      <c r="F14" s="64" t="str">
        <f>INDEX(Q2_Adult,10,7)</f>
        <v>No data</v>
      </c>
      <c r="G14" s="70" t="str">
        <f>INDEX(Q2_Adult,10,8)</f>
        <v>No data</v>
      </c>
      <c r="H14" s="210" t="str">
        <f>INDEX(Q2_Adult,10,9)</f>
        <v>No data</v>
      </c>
      <c r="I14" s="200">
        <f t="shared" si="0"/>
        <v>0</v>
      </c>
      <c r="J14" s="201" t="str">
        <f>INDEX(Q2_Adult,10,10)</f>
        <v>No data</v>
      </c>
      <c r="K14" s="200">
        <f t="shared" si="1"/>
        <v>0</v>
      </c>
      <c r="L14" s="201" t="str">
        <f>INDEX(Q2_Adult,10,11)</f>
        <v>No data</v>
      </c>
      <c r="M14" s="200">
        <f t="shared" si="2"/>
        <v>0</v>
      </c>
      <c r="N14" s="201" t="str">
        <f>INDEX(Q2_Adult,10,12)</f>
        <v>No data</v>
      </c>
      <c r="O14" s="200">
        <f t="shared" si="3"/>
        <v>0</v>
      </c>
      <c r="P14" s="202" t="str">
        <f>INDEX(Q2_Adult,10,13)</f>
        <v>No data</v>
      </c>
      <c r="Q14" s="199" t="str">
        <f>INDEX(Q2_Adult,10,15)</f>
        <v>No data</v>
      </c>
      <c r="R14" s="200">
        <f t="shared" si="4"/>
        <v>0</v>
      </c>
      <c r="S14" s="201" t="str">
        <f>INDEX(Q2_Adult,10,16)</f>
        <v>No data</v>
      </c>
      <c r="T14" s="200">
        <f t="shared" si="5"/>
        <v>0</v>
      </c>
      <c r="U14" s="423" t="str">
        <f>INDEX(Q2_Adult,10,17)</f>
        <v>No data</v>
      </c>
      <c r="V14" s="200">
        <f t="shared" si="6"/>
        <v>0</v>
      </c>
      <c r="W14" s="201" t="str">
        <f>INDEX(Q2_Adult,10,18)</f>
        <v>No data</v>
      </c>
      <c r="X14" s="200">
        <f t="shared" si="7"/>
        <v>0</v>
      </c>
      <c r="Y14" s="113" t="str">
        <f>INDEX(Q2_Adult,10,19)</f>
        <v>No data</v>
      </c>
      <c r="Z14" s="66" t="str">
        <f>INDEX(Q2_Adult,10,21)</f>
        <v>No data</v>
      </c>
      <c r="AA14" s="67" t="str">
        <f>INDEX(Q2_Adult,10,22)</f>
        <v>No data</v>
      </c>
      <c r="AB14" s="420"/>
    </row>
    <row r="15" spans="1:28" s="8" customFormat="1" ht="21.75" customHeight="1" thickTop="1" thickBot="1" x14ac:dyDescent="0.35">
      <c r="A15" s="420"/>
      <c r="B15" s="424" t="str">
        <f>INDEX(Q2_Adult,11,2)</f>
        <v>Hywel Dda UHB, Withybush Hospital</v>
      </c>
      <c r="C15" s="424" t="s">
        <v>20</v>
      </c>
      <c r="D15" s="425">
        <v>3</v>
      </c>
      <c r="E15" s="424" t="s">
        <v>22</v>
      </c>
      <c r="F15" s="65">
        <f>INDEX(Q2_Adult,11,7)</f>
        <v>0</v>
      </c>
      <c r="G15" s="71">
        <f>INDEX(Q2_Adult,11,8)</f>
        <v>0</v>
      </c>
      <c r="H15" s="204">
        <f>INDEX(Q2_Adult,11,9)</f>
        <v>4</v>
      </c>
      <c r="I15" s="205">
        <f t="shared" si="0"/>
        <v>0.44444444444444442</v>
      </c>
      <c r="J15" s="206">
        <f>INDEX(Q2_Adult,11,10)</f>
        <v>2</v>
      </c>
      <c r="K15" s="205">
        <f t="shared" si="1"/>
        <v>0.22222222222222221</v>
      </c>
      <c r="L15" s="206">
        <f>INDEX(Q2_Adult,11,11)</f>
        <v>0</v>
      </c>
      <c r="M15" s="205">
        <f t="shared" si="2"/>
        <v>0</v>
      </c>
      <c r="N15" s="206">
        <f>INDEX(Q2_Adult,11,12)</f>
        <v>3</v>
      </c>
      <c r="O15" s="205">
        <f t="shared" si="3"/>
        <v>0.33333333333333331</v>
      </c>
      <c r="P15" s="207">
        <f>INDEX(Q2_Adult,11,13)</f>
        <v>9</v>
      </c>
      <c r="Q15" s="208">
        <f>INDEX(Q2_Adult,11,15)</f>
        <v>0</v>
      </c>
      <c r="R15" s="205">
        <f t="shared" si="4"/>
        <v>0</v>
      </c>
      <c r="S15" s="206">
        <f>INDEX(Q2_Adult,11,16)</f>
        <v>0</v>
      </c>
      <c r="T15" s="205">
        <f t="shared" si="5"/>
        <v>0</v>
      </c>
      <c r="U15" s="426">
        <f>INDEX(Q2_Adult,11,17)</f>
        <v>0</v>
      </c>
      <c r="V15" s="205">
        <f t="shared" si="6"/>
        <v>0</v>
      </c>
      <c r="W15" s="206">
        <f>INDEX(Q2_Adult,11,18)</f>
        <v>0</v>
      </c>
      <c r="X15" s="205">
        <f t="shared" si="7"/>
        <v>0</v>
      </c>
      <c r="Y15" s="114">
        <f>INDEX(Q2_Adult,11,19)</f>
        <v>0</v>
      </c>
      <c r="Z15" s="68">
        <f>INDEX(Q2_Adult,11,21)</f>
        <v>0</v>
      </c>
      <c r="AA15" s="69">
        <f>INDEX(Q2_Adult,11,22)</f>
        <v>0</v>
      </c>
      <c r="AB15" s="420"/>
    </row>
    <row r="16" spans="1:28" s="8" customFormat="1" ht="21.75" customHeight="1" thickTop="1" thickBot="1" x14ac:dyDescent="0.35">
      <c r="A16" s="420"/>
      <c r="B16" s="421" t="str">
        <f>INDEX(Q2_Adult,12,2)</f>
        <v>Swansea Bay UHB, Morriston / Singleton Hospitals</v>
      </c>
      <c r="C16" s="421" t="s">
        <v>20</v>
      </c>
      <c r="D16" s="422">
        <v>3</v>
      </c>
      <c r="E16" s="421" t="s">
        <v>22</v>
      </c>
      <c r="F16" s="64">
        <f>INDEX(Q2_Adult,12,7)</f>
        <v>3</v>
      </c>
      <c r="G16" s="70">
        <f>INDEX(Q2_Adult,12,8)</f>
        <v>0</v>
      </c>
      <c r="H16" s="210">
        <f>INDEX(Q2_Adult,12,9)</f>
        <v>26</v>
      </c>
      <c r="I16" s="200">
        <f t="shared" si="0"/>
        <v>0.19548872180451127</v>
      </c>
      <c r="J16" s="201">
        <f>INDEX(Q2_Adult,12,10)</f>
        <v>23</v>
      </c>
      <c r="K16" s="200">
        <f t="shared" si="1"/>
        <v>0.17293233082706766</v>
      </c>
      <c r="L16" s="201">
        <f>INDEX(Q2_Adult,12,11)</f>
        <v>29</v>
      </c>
      <c r="M16" s="200">
        <f t="shared" si="2"/>
        <v>0.21804511278195488</v>
      </c>
      <c r="N16" s="201">
        <f>INDEX(Q2_Adult,12,12)</f>
        <v>55</v>
      </c>
      <c r="O16" s="200">
        <f t="shared" si="3"/>
        <v>0.41353383458646614</v>
      </c>
      <c r="P16" s="202">
        <f>INDEX(Q2_Adult,12,13)</f>
        <v>133</v>
      </c>
      <c r="Q16" s="199">
        <f>INDEX(Q2_Adult,12,15)</f>
        <v>0</v>
      </c>
      <c r="R16" s="200">
        <f t="shared" si="4"/>
        <v>0</v>
      </c>
      <c r="S16" s="201">
        <f>INDEX(Q2_Adult,12,16)</f>
        <v>0</v>
      </c>
      <c r="T16" s="200">
        <f t="shared" si="5"/>
        <v>0</v>
      </c>
      <c r="U16" s="423">
        <f>INDEX(Q2_Adult,12,17)</f>
        <v>0</v>
      </c>
      <c r="V16" s="200">
        <f t="shared" si="6"/>
        <v>0</v>
      </c>
      <c r="W16" s="201">
        <f>INDEX(Q2_Adult,12,18)</f>
        <v>0</v>
      </c>
      <c r="X16" s="200">
        <f t="shared" si="7"/>
        <v>0</v>
      </c>
      <c r="Y16" s="113">
        <f>INDEX(Q2_Adult,12,19)</f>
        <v>0</v>
      </c>
      <c r="Z16" s="66">
        <f>INDEX(Q2_Adult,12,21)</f>
        <v>0</v>
      </c>
      <c r="AA16" s="67">
        <f>INDEX(Q2_Adult,12,22)</f>
        <v>0</v>
      </c>
      <c r="AB16" s="420"/>
    </row>
    <row r="17" spans="1:28" s="8" customFormat="1" ht="21.75" customHeight="1" thickTop="1" thickBot="1" x14ac:dyDescent="0.35">
      <c r="A17" s="420"/>
      <c r="B17" s="424" t="str">
        <f>INDEX(Q2_Adult,13,2)</f>
        <v xml:space="preserve">Barnstaple, North Devon District Hospital </v>
      </c>
      <c r="C17" s="424" t="s">
        <v>20</v>
      </c>
      <c r="D17" s="425">
        <v>3</v>
      </c>
      <c r="E17" s="424" t="s">
        <v>21</v>
      </c>
      <c r="F17" s="65">
        <f>INDEX(Q2_Adult,13,7)</f>
        <v>32</v>
      </c>
      <c r="G17" s="71">
        <f>INDEX(Q2_Adult,13,8)</f>
        <v>32</v>
      </c>
      <c r="H17" s="204">
        <f>INDEX(Q2_Adult,13,9)</f>
        <v>6</v>
      </c>
      <c r="I17" s="205">
        <f t="shared" si="0"/>
        <v>8.5714285714285715E-2</v>
      </c>
      <c r="J17" s="206">
        <f>INDEX(Q2_Adult,13,10)</f>
        <v>18</v>
      </c>
      <c r="K17" s="205">
        <f t="shared" si="1"/>
        <v>0.25714285714285712</v>
      </c>
      <c r="L17" s="206">
        <f>INDEX(Q2_Adult,13,11)</f>
        <v>38</v>
      </c>
      <c r="M17" s="205">
        <f t="shared" si="2"/>
        <v>0.54285714285714282</v>
      </c>
      <c r="N17" s="206">
        <f>INDEX(Q2_Adult,13,12)</f>
        <v>8</v>
      </c>
      <c r="O17" s="205">
        <f t="shared" si="3"/>
        <v>0.11428571428571428</v>
      </c>
      <c r="P17" s="207">
        <f>INDEX(Q2_Adult,13,13)</f>
        <v>70</v>
      </c>
      <c r="Q17" s="208">
        <f>INDEX(Q2_Adult,13,15)</f>
        <v>6</v>
      </c>
      <c r="R17" s="205">
        <f t="shared" si="4"/>
        <v>8.5714285714285715E-2</v>
      </c>
      <c r="S17" s="206">
        <f>INDEX(Q2_Adult,13,16)</f>
        <v>18</v>
      </c>
      <c r="T17" s="205">
        <f t="shared" si="5"/>
        <v>0.25714285714285712</v>
      </c>
      <c r="U17" s="426">
        <f>INDEX(Q2_Adult,13,17)</f>
        <v>38</v>
      </c>
      <c r="V17" s="205">
        <f t="shared" si="6"/>
        <v>0.54285714285714282</v>
      </c>
      <c r="W17" s="206">
        <f>INDEX(Q2_Adult,13,18)</f>
        <v>8</v>
      </c>
      <c r="X17" s="205">
        <f t="shared" si="7"/>
        <v>0.11428571428571428</v>
      </c>
      <c r="Y17" s="114">
        <f>INDEX(Q2_Adult,13,19)</f>
        <v>70</v>
      </c>
      <c r="Z17" s="68">
        <f>INDEX(Q2_Adult,13,21)</f>
        <v>0</v>
      </c>
      <c r="AA17" s="69">
        <f>INDEX(Q2_Adult,13,22)</f>
        <v>0</v>
      </c>
      <c r="AB17" s="420"/>
    </row>
    <row r="18" spans="1:28" s="8" customFormat="1" ht="21.75" customHeight="1" thickTop="1" thickBot="1" x14ac:dyDescent="0.35">
      <c r="A18" s="420"/>
      <c r="B18" s="421" t="str">
        <f>INDEX(Q2_Adult,15,2)</f>
        <v xml:space="preserve">Exeter, Royal Devon and Exeter Hospital </v>
      </c>
      <c r="C18" s="421" t="s">
        <v>20</v>
      </c>
      <c r="D18" s="422">
        <v>3</v>
      </c>
      <c r="E18" s="421" t="s">
        <v>21</v>
      </c>
      <c r="F18" s="64" t="str">
        <f>INDEX(Q2_Adult,15,7)</f>
        <v>No data</v>
      </c>
      <c r="G18" s="70" t="str">
        <f>INDEX(Q2_Adult,15,8)</f>
        <v>No data</v>
      </c>
      <c r="H18" s="210" t="str">
        <f>INDEX(Q2_Adult,15,9)</f>
        <v>No data</v>
      </c>
      <c r="I18" s="200">
        <f t="shared" si="0"/>
        <v>0</v>
      </c>
      <c r="J18" s="201" t="str">
        <f>INDEX(Q2_Adult,15,10)</f>
        <v>No data</v>
      </c>
      <c r="K18" s="200">
        <f t="shared" si="1"/>
        <v>0</v>
      </c>
      <c r="L18" s="201" t="str">
        <f>INDEX(Q2_Adult,15,11)</f>
        <v>No data</v>
      </c>
      <c r="M18" s="200">
        <f t="shared" si="2"/>
        <v>0</v>
      </c>
      <c r="N18" s="201" t="str">
        <f>INDEX(Q2_Adult,15,12)</f>
        <v>No data</v>
      </c>
      <c r="O18" s="200">
        <f t="shared" si="3"/>
        <v>0</v>
      </c>
      <c r="P18" s="202" t="str">
        <f>INDEX(Q2_Adult,15,13)</f>
        <v>No data</v>
      </c>
      <c r="Q18" s="199" t="str">
        <f>INDEX(Q2_Adult,15,15)</f>
        <v>No data</v>
      </c>
      <c r="R18" s="200">
        <f t="shared" si="4"/>
        <v>0</v>
      </c>
      <c r="S18" s="201" t="str">
        <f>INDEX(Q2_Adult,15,16)</f>
        <v>No data</v>
      </c>
      <c r="T18" s="200">
        <f t="shared" si="5"/>
        <v>0</v>
      </c>
      <c r="U18" s="423" t="str">
        <f>INDEX(Q2_Adult,15,17)</f>
        <v>No data</v>
      </c>
      <c r="V18" s="200">
        <f t="shared" si="6"/>
        <v>0</v>
      </c>
      <c r="W18" s="201" t="str">
        <f>INDEX(Q2_Adult,15,18)</f>
        <v>No data</v>
      </c>
      <c r="X18" s="200">
        <f t="shared" si="7"/>
        <v>0</v>
      </c>
      <c r="Y18" s="113" t="str">
        <f>INDEX(Q2_Adult,15,19)</f>
        <v>No data</v>
      </c>
      <c r="Z18" s="66" t="str">
        <f>INDEX(Q2_Adult,15,21)</f>
        <v>No data</v>
      </c>
      <c r="AA18" s="67" t="str">
        <f>INDEX(Q2_Adult,15,22)</f>
        <v>No data</v>
      </c>
      <c r="AB18" s="420"/>
    </row>
    <row r="19" spans="1:28" s="8" customFormat="1" ht="21.75" customHeight="1" thickTop="1" thickBot="1" x14ac:dyDescent="0.35">
      <c r="A19" s="420"/>
      <c r="B19" s="424" t="str">
        <f>INDEX(Q2_Adult,16,2)</f>
        <v>Gloucester, Gloucestershire Hospitals</v>
      </c>
      <c r="C19" s="424" t="s">
        <v>20</v>
      </c>
      <c r="D19" s="425">
        <v>3</v>
      </c>
      <c r="E19" s="424" t="s">
        <v>21</v>
      </c>
      <c r="F19" s="65">
        <f>INDEX(Q2_Adult,16,7)</f>
        <v>12</v>
      </c>
      <c r="G19" s="71">
        <f>INDEX(Q2_Adult,16,8)</f>
        <v>12</v>
      </c>
      <c r="H19" s="204">
        <f>INDEX(Q2_Adult,16,9)</f>
        <v>5</v>
      </c>
      <c r="I19" s="205">
        <f t="shared" si="0"/>
        <v>6.6666666666666666E-2</v>
      </c>
      <c r="J19" s="206">
        <f>INDEX(Q2_Adult,16,10)</f>
        <v>8</v>
      </c>
      <c r="K19" s="205">
        <f t="shared" si="1"/>
        <v>0.10666666666666667</v>
      </c>
      <c r="L19" s="206">
        <f>INDEX(Q2_Adult,16,11)</f>
        <v>21</v>
      </c>
      <c r="M19" s="205">
        <f t="shared" si="2"/>
        <v>0.28000000000000003</v>
      </c>
      <c r="N19" s="206">
        <f>INDEX(Q2_Adult,16,12)</f>
        <v>41</v>
      </c>
      <c r="O19" s="205">
        <f t="shared" si="3"/>
        <v>0.54666666666666663</v>
      </c>
      <c r="P19" s="207">
        <f>INDEX(Q2_Adult,16,13)</f>
        <v>75</v>
      </c>
      <c r="Q19" s="208">
        <f>INDEX(Q2_Adult,16,15)</f>
        <v>5</v>
      </c>
      <c r="R19" s="205">
        <f t="shared" si="4"/>
        <v>6.6666666666666666E-2</v>
      </c>
      <c r="S19" s="206">
        <f>INDEX(Q2_Adult,16,16)</f>
        <v>8</v>
      </c>
      <c r="T19" s="205">
        <f t="shared" si="5"/>
        <v>0.10666666666666667</v>
      </c>
      <c r="U19" s="426">
        <f>INDEX(Q2_Adult,16,17)</f>
        <v>21</v>
      </c>
      <c r="V19" s="205">
        <f t="shared" si="6"/>
        <v>0.28000000000000003</v>
      </c>
      <c r="W19" s="206">
        <f>INDEX(Q2_Adult,16,18)</f>
        <v>41</v>
      </c>
      <c r="X19" s="205">
        <f t="shared" si="7"/>
        <v>0.54666666666666663</v>
      </c>
      <c r="Y19" s="114">
        <f>INDEX(Q2_Adult,16,19)</f>
        <v>75</v>
      </c>
      <c r="Z19" s="68">
        <f>INDEX(Q2_Adult,16,21)</f>
        <v>0</v>
      </c>
      <c r="AA19" s="69">
        <f>INDEX(Q2_Adult,16,22)</f>
        <v>0</v>
      </c>
      <c r="AB19" s="420"/>
    </row>
    <row r="20" spans="1:28" s="8" customFormat="1" ht="21.75" customHeight="1" thickTop="1" thickBot="1" x14ac:dyDescent="0.35">
      <c r="A20" s="420"/>
      <c r="B20" s="421" t="str">
        <f>INDEX(Q2_Adult,17,2)</f>
        <v xml:space="preserve">Plymouth, Derriford Hospital </v>
      </c>
      <c r="C20" s="421" t="s">
        <v>20</v>
      </c>
      <c r="D20" s="422">
        <v>3</v>
      </c>
      <c r="E20" s="421" t="s">
        <v>21</v>
      </c>
      <c r="F20" s="64">
        <f>INDEX(Q2_Adult,17,7)</f>
        <v>34</v>
      </c>
      <c r="G20" s="70">
        <f>INDEX(Q2_Adult,17,8)</f>
        <v>0</v>
      </c>
      <c r="H20" s="210">
        <f>INDEX(Q2_Adult,17,9)</f>
        <v>160</v>
      </c>
      <c r="I20" s="200">
        <f t="shared" si="0"/>
        <v>0.2527646129541864</v>
      </c>
      <c r="J20" s="201">
        <f>INDEX(Q2_Adult,17,10)</f>
        <v>133</v>
      </c>
      <c r="K20" s="200">
        <f t="shared" si="1"/>
        <v>0.21011058451816747</v>
      </c>
      <c r="L20" s="201">
        <f>INDEX(Q2_Adult,17,11)</f>
        <v>187</v>
      </c>
      <c r="M20" s="200">
        <f t="shared" si="2"/>
        <v>0.29541864139020535</v>
      </c>
      <c r="N20" s="201">
        <f>INDEX(Q2_Adult,17,12)</f>
        <v>153</v>
      </c>
      <c r="O20" s="200">
        <f t="shared" si="3"/>
        <v>0.24170616113744076</v>
      </c>
      <c r="P20" s="202">
        <f>INDEX(Q2_Adult,17,13)</f>
        <v>633</v>
      </c>
      <c r="Q20" s="199">
        <f>INDEX(Q2_Adult,17,15)</f>
        <v>0</v>
      </c>
      <c r="R20" s="200">
        <f t="shared" si="4"/>
        <v>0</v>
      </c>
      <c r="S20" s="201">
        <f>INDEX(Q2_Adult,17,16)</f>
        <v>0</v>
      </c>
      <c r="T20" s="200">
        <f t="shared" si="5"/>
        <v>0</v>
      </c>
      <c r="U20" s="423">
        <f>INDEX(Q2_Adult,17,17)</f>
        <v>0</v>
      </c>
      <c r="V20" s="200">
        <f t="shared" si="6"/>
        <v>0</v>
      </c>
      <c r="W20" s="201">
        <f>INDEX(Q2_Adult,17,18)</f>
        <v>0</v>
      </c>
      <c r="X20" s="200">
        <f t="shared" si="7"/>
        <v>0</v>
      </c>
      <c r="Y20" s="113">
        <f>INDEX(Q2_Adult,17,19)</f>
        <v>0</v>
      </c>
      <c r="Z20" s="66">
        <f>INDEX(Q2_Adult,17,21)</f>
        <v>0.04</v>
      </c>
      <c r="AA20" s="67">
        <f>INDEX(Q2_Adult,17,22)</f>
        <v>0</v>
      </c>
      <c r="AB20" s="420"/>
    </row>
    <row r="21" spans="1:28" s="8" customFormat="1" ht="21.75" customHeight="1" thickTop="1" thickBot="1" x14ac:dyDescent="0.35">
      <c r="A21" s="420"/>
      <c r="B21" s="424" t="str">
        <f>INDEX(Q2_Adult,18,2)</f>
        <v xml:space="preserve">Swindon, Great Weston Hospital </v>
      </c>
      <c r="C21" s="424" t="s">
        <v>20</v>
      </c>
      <c r="D21" s="425">
        <v>3</v>
      </c>
      <c r="E21" s="424" t="s">
        <v>21</v>
      </c>
      <c r="F21" s="65" t="str">
        <f>INDEX(Q2_Adult,18,7)</f>
        <v>No data</v>
      </c>
      <c r="G21" s="71" t="str">
        <f>INDEX(Q2_Adult,18,8)</f>
        <v>No data</v>
      </c>
      <c r="H21" s="204" t="str">
        <f>INDEX(Q2_Adult,18,9)</f>
        <v>No data</v>
      </c>
      <c r="I21" s="205">
        <f t="shared" si="0"/>
        <v>0</v>
      </c>
      <c r="J21" s="206" t="str">
        <f>INDEX(Q2_Adult,18,10)</f>
        <v>No data</v>
      </c>
      <c r="K21" s="205">
        <f t="shared" si="1"/>
        <v>0</v>
      </c>
      <c r="L21" s="206" t="str">
        <f>INDEX(Q2_Adult,18,11)</f>
        <v>No data</v>
      </c>
      <c r="M21" s="205">
        <f t="shared" si="2"/>
        <v>0</v>
      </c>
      <c r="N21" s="206" t="str">
        <f>INDEX(Q2_Adult,18,12)</f>
        <v>No data</v>
      </c>
      <c r="O21" s="205">
        <f t="shared" si="3"/>
        <v>0</v>
      </c>
      <c r="P21" s="207" t="str">
        <f>INDEX(Q2_Adult,18,13)</f>
        <v>No data</v>
      </c>
      <c r="Q21" s="208" t="str">
        <f>INDEX(Q2_Adult,18,15)</f>
        <v>No data</v>
      </c>
      <c r="R21" s="205">
        <f t="shared" si="4"/>
        <v>0</v>
      </c>
      <c r="S21" s="206" t="str">
        <f>INDEX(Q2_Adult,18,16)</f>
        <v>No data</v>
      </c>
      <c r="T21" s="205">
        <f t="shared" si="5"/>
        <v>0</v>
      </c>
      <c r="U21" s="426" t="str">
        <f>INDEX(Q2_Adult,18,17)</f>
        <v>No data</v>
      </c>
      <c r="V21" s="205">
        <f t="shared" si="6"/>
        <v>0</v>
      </c>
      <c r="W21" s="206" t="str">
        <f>INDEX(Q2_Adult,18,18)</f>
        <v>No data</v>
      </c>
      <c r="X21" s="205">
        <f t="shared" si="7"/>
        <v>0</v>
      </c>
      <c r="Y21" s="114" t="str">
        <f>INDEX(Q2_Adult,18,19)</f>
        <v>No data</v>
      </c>
      <c r="Z21" s="68" t="str">
        <f>INDEX(Q2_Adult,18,21)</f>
        <v>No data</v>
      </c>
      <c r="AA21" s="69" t="str">
        <f>INDEX(Q2_Adult,18,22)</f>
        <v>No data</v>
      </c>
      <c r="AB21" s="420"/>
    </row>
    <row r="22" spans="1:28" s="8" customFormat="1" ht="21.75" customHeight="1" thickTop="1" thickBot="1" x14ac:dyDescent="0.35">
      <c r="A22" s="420"/>
      <c r="B22" s="421" t="str">
        <f>INDEX(Q2_Adult,19,2)</f>
        <v xml:space="preserve">Taunton, Musgrove Park Hospital </v>
      </c>
      <c r="C22" s="421" t="s">
        <v>20</v>
      </c>
      <c r="D22" s="422">
        <v>3</v>
      </c>
      <c r="E22" s="421" t="s">
        <v>21</v>
      </c>
      <c r="F22" s="64">
        <f>INDEX(Q2_Adult,19,7)</f>
        <v>2</v>
      </c>
      <c r="G22" s="70">
        <f>INDEX(Q2_Adult,19,8)</f>
        <v>8</v>
      </c>
      <c r="H22" s="210">
        <f>INDEX(Q2_Adult,19,9)</f>
        <v>24</v>
      </c>
      <c r="I22" s="200">
        <f t="shared" si="0"/>
        <v>1</v>
      </c>
      <c r="J22" s="201">
        <f>INDEX(Q2_Adult,19,10)</f>
        <v>0</v>
      </c>
      <c r="K22" s="200">
        <f t="shared" si="1"/>
        <v>0</v>
      </c>
      <c r="L22" s="201">
        <f>INDEX(Q2_Adult,19,11)</f>
        <v>0</v>
      </c>
      <c r="M22" s="200">
        <f t="shared" si="2"/>
        <v>0</v>
      </c>
      <c r="N22" s="201">
        <f>INDEX(Q2_Adult,19,12)</f>
        <v>0</v>
      </c>
      <c r="O22" s="200">
        <f t="shared" si="3"/>
        <v>0</v>
      </c>
      <c r="P22" s="202">
        <f>INDEX(Q2_Adult,19,13)</f>
        <v>24</v>
      </c>
      <c r="Q22" s="199">
        <f>INDEX(Q2_Adult,19,15)</f>
        <v>10</v>
      </c>
      <c r="R22" s="200">
        <f t="shared" si="4"/>
        <v>0.58823529411764708</v>
      </c>
      <c r="S22" s="201">
        <f>INDEX(Q2_Adult,19,16)</f>
        <v>7</v>
      </c>
      <c r="T22" s="200">
        <f t="shared" si="5"/>
        <v>0.41176470588235292</v>
      </c>
      <c r="U22" s="423">
        <f>INDEX(Q2_Adult,19,17)</f>
        <v>0</v>
      </c>
      <c r="V22" s="200">
        <f t="shared" si="6"/>
        <v>0</v>
      </c>
      <c r="W22" s="201">
        <f>INDEX(Q2_Adult,19,18)</f>
        <v>0</v>
      </c>
      <c r="X22" s="200">
        <f t="shared" si="7"/>
        <v>0</v>
      </c>
      <c r="Y22" s="113">
        <f>INDEX(Q2_Adult,19,19)</f>
        <v>17</v>
      </c>
      <c r="Z22" s="66">
        <f>INDEX(Q2_Adult,19,21)</f>
        <v>0</v>
      </c>
      <c r="AA22" s="67">
        <f>INDEX(Q2_Adult,19,22)</f>
        <v>0</v>
      </c>
      <c r="AB22" s="420"/>
    </row>
    <row r="23" spans="1:28" s="8" customFormat="1" ht="21.75" customHeight="1" thickTop="1" thickBot="1" x14ac:dyDescent="0.35">
      <c r="A23" s="420"/>
      <c r="B23" s="424" t="str">
        <f>INDEX(Q2_Adult,20,2)</f>
        <v xml:space="preserve">Torquay, Torbay General District Hospital </v>
      </c>
      <c r="C23" s="424" t="s">
        <v>20</v>
      </c>
      <c r="D23" s="425">
        <v>3</v>
      </c>
      <c r="E23" s="424" t="s">
        <v>21</v>
      </c>
      <c r="F23" s="65">
        <f>INDEX(Q2_Adult,20,7)</f>
        <v>5</v>
      </c>
      <c r="G23" s="71">
        <f>INDEX(Q2_Adult,20,8)</f>
        <v>0</v>
      </c>
      <c r="H23" s="204">
        <f>INDEX(Q2_Adult,20,9)</f>
        <v>6</v>
      </c>
      <c r="I23" s="205">
        <f t="shared" si="0"/>
        <v>1</v>
      </c>
      <c r="J23" s="206">
        <f>INDEX(Q2_Adult,20,10)</f>
        <v>0</v>
      </c>
      <c r="K23" s="205">
        <f t="shared" si="1"/>
        <v>0</v>
      </c>
      <c r="L23" s="206">
        <f>INDEX(Q2_Adult,20,11)</f>
        <v>0</v>
      </c>
      <c r="M23" s="205">
        <f t="shared" si="2"/>
        <v>0</v>
      </c>
      <c r="N23" s="206">
        <f>INDEX(Q2_Adult,20,12)</f>
        <v>0</v>
      </c>
      <c r="O23" s="205">
        <f t="shared" si="3"/>
        <v>0</v>
      </c>
      <c r="P23" s="207">
        <f>INDEX(Q2_Adult,20,13)</f>
        <v>6</v>
      </c>
      <c r="Q23" s="208">
        <f>INDEX(Q2_Adult,20,15)</f>
        <v>4</v>
      </c>
      <c r="R23" s="205">
        <f t="shared" si="4"/>
        <v>0.26666666666666666</v>
      </c>
      <c r="S23" s="206">
        <f>INDEX(Q2_Adult,20,16)</f>
        <v>8</v>
      </c>
      <c r="T23" s="205">
        <f t="shared" si="5"/>
        <v>0.53333333333333333</v>
      </c>
      <c r="U23" s="426">
        <f>INDEX(Q2_Adult,20,17)</f>
        <v>2</v>
      </c>
      <c r="V23" s="205">
        <f t="shared" si="6"/>
        <v>0.13333333333333333</v>
      </c>
      <c r="W23" s="206">
        <f>INDEX(Q2_Adult,20,18)</f>
        <v>1</v>
      </c>
      <c r="X23" s="205">
        <f t="shared" si="7"/>
        <v>6.6666666666666666E-2</v>
      </c>
      <c r="Y23" s="114">
        <f>INDEX(Q2_Adult,20,19)</f>
        <v>15</v>
      </c>
      <c r="Z23" s="68">
        <f>INDEX(Q2_Adult,20,21)</f>
        <v>0.04</v>
      </c>
      <c r="AA23" s="69">
        <f>INDEX(Q2_Adult,20,22)</f>
        <v>0.09</v>
      </c>
      <c r="AB23" s="420"/>
    </row>
    <row r="24" spans="1:28" s="8" customFormat="1" ht="21.75" customHeight="1" thickTop="1" thickBot="1" x14ac:dyDescent="0.35">
      <c r="A24" s="420"/>
      <c r="B24" s="421" t="str">
        <f>INDEX(Q2_Adult,21,2)</f>
        <v xml:space="preserve">Truro, Royal Cornwall Hospital </v>
      </c>
      <c r="C24" s="421" t="s">
        <v>20</v>
      </c>
      <c r="D24" s="422">
        <v>3</v>
      </c>
      <c r="E24" s="421" t="s">
        <v>21</v>
      </c>
      <c r="F24" s="64" t="str">
        <f>INDEX(Q2_Adult,21,7)</f>
        <v>No data</v>
      </c>
      <c r="G24" s="70" t="str">
        <f>INDEX(Q2_Adult,21,8)</f>
        <v>No data</v>
      </c>
      <c r="H24" s="210" t="str">
        <f>INDEX(Q2_Adult,21,9)</f>
        <v>No data</v>
      </c>
      <c r="I24" s="200">
        <f t="shared" si="0"/>
        <v>0</v>
      </c>
      <c r="J24" s="201" t="str">
        <f>INDEX(Q2_Adult,21,10)</f>
        <v>No data</v>
      </c>
      <c r="K24" s="200">
        <f t="shared" si="1"/>
        <v>0</v>
      </c>
      <c r="L24" s="201" t="str">
        <f>INDEX(Q2_Adult,21,11)</f>
        <v>No data</v>
      </c>
      <c r="M24" s="200">
        <f t="shared" si="2"/>
        <v>0</v>
      </c>
      <c r="N24" s="201" t="str">
        <f>INDEX(Q2_Adult,21,12)</f>
        <v>No data</v>
      </c>
      <c r="O24" s="200">
        <f t="shared" si="3"/>
        <v>0</v>
      </c>
      <c r="P24" s="202" t="str">
        <f>INDEX(Q2_Adult,21,13)</f>
        <v>No data</v>
      </c>
      <c r="Q24" s="199" t="str">
        <f>INDEX(Q2_Adult,21,15)</f>
        <v>No data</v>
      </c>
      <c r="R24" s="200">
        <f t="shared" si="4"/>
        <v>0</v>
      </c>
      <c r="S24" s="201" t="str">
        <f>INDEX(Q2_Adult,21,16)</f>
        <v>No data</v>
      </c>
      <c r="T24" s="200">
        <f t="shared" si="5"/>
        <v>0</v>
      </c>
      <c r="U24" s="423" t="str">
        <f>INDEX(Q2_Adult,21,17)</f>
        <v>No data</v>
      </c>
      <c r="V24" s="200">
        <f t="shared" si="6"/>
        <v>0</v>
      </c>
      <c r="W24" s="201" t="str">
        <f>INDEX(Q2_Adult,21,18)</f>
        <v>No data</v>
      </c>
      <c r="X24" s="200">
        <f t="shared" si="7"/>
        <v>0</v>
      </c>
      <c r="Y24" s="113" t="str">
        <f>INDEX(Q2_Adult,21,19)</f>
        <v>No data</v>
      </c>
      <c r="Z24" s="66" t="str">
        <f>INDEX(Q2_Adult,21,21)</f>
        <v>No data</v>
      </c>
      <c r="AA24" s="67" t="str">
        <f>INDEX(Q2_Adult,21,22)</f>
        <v>No data</v>
      </c>
      <c r="AB24" s="420"/>
    </row>
    <row r="25" spans="1:28" ht="15" thickTop="1" x14ac:dyDescent="0.3">
      <c r="B25" s="16"/>
      <c r="C25" s="16"/>
      <c r="D25" s="16"/>
      <c r="E25" s="16"/>
      <c r="F25" s="15"/>
      <c r="G25" s="15"/>
      <c r="H25" s="119"/>
      <c r="I25" s="15"/>
      <c r="J25" s="119"/>
      <c r="K25" s="15"/>
      <c r="L25" s="119"/>
      <c r="M25" s="15"/>
      <c r="N25" s="119"/>
      <c r="O25" s="15"/>
      <c r="P25" s="15"/>
      <c r="Q25" s="119"/>
      <c r="R25" s="15"/>
      <c r="S25" s="119"/>
      <c r="T25" s="15"/>
      <c r="U25" s="119"/>
      <c r="V25" s="15"/>
      <c r="W25" s="119"/>
      <c r="X25" s="15"/>
      <c r="Y25" s="15"/>
      <c r="Z25" s="15"/>
      <c r="AA25" s="15"/>
    </row>
    <row r="26" spans="1:28" ht="15" thickBot="1" x14ac:dyDescent="0.35">
      <c r="B26" s="16"/>
      <c r="C26" s="16"/>
      <c r="D26" s="16"/>
      <c r="E26" s="16"/>
      <c r="F26" s="15"/>
      <c r="G26" s="15"/>
      <c r="H26" s="119"/>
      <c r="I26" s="15"/>
      <c r="J26" s="119"/>
      <c r="K26" s="15"/>
      <c r="L26" s="119"/>
      <c r="M26" s="15"/>
      <c r="N26" s="119"/>
      <c r="O26" s="15"/>
      <c r="P26" s="15"/>
      <c r="Q26" s="119"/>
      <c r="R26" s="15"/>
      <c r="S26" s="119"/>
      <c r="T26" s="15"/>
      <c r="U26" s="119"/>
      <c r="V26" s="15"/>
      <c r="W26" s="119"/>
      <c r="X26" s="15"/>
      <c r="Y26" s="15"/>
      <c r="Z26" s="15"/>
      <c r="AA26" s="15"/>
    </row>
    <row r="27" spans="1:28" ht="14.4" x14ac:dyDescent="0.3">
      <c r="B27" s="299" t="s">
        <v>86</v>
      </c>
      <c r="C27" s="428" t="s">
        <v>87</v>
      </c>
      <c r="D27" s="429"/>
      <c r="E27" s="430"/>
      <c r="F27" s="309" t="s">
        <v>78</v>
      </c>
      <c r="G27" s="310"/>
      <c r="H27" s="311"/>
      <c r="I27" s="312"/>
      <c r="J27" s="315" t="s">
        <v>84</v>
      </c>
      <c r="K27" s="316"/>
      <c r="L27" s="319" t="s">
        <v>84</v>
      </c>
      <c r="M27" s="320"/>
      <c r="N27" s="323" t="s">
        <v>84</v>
      </c>
      <c r="O27" s="324"/>
      <c r="P27" s="277"/>
      <c r="Q27" s="311"/>
      <c r="R27" s="312"/>
      <c r="S27" s="315" t="s">
        <v>84</v>
      </c>
      <c r="T27" s="316"/>
      <c r="U27" s="319" t="s">
        <v>84</v>
      </c>
      <c r="V27" s="320"/>
      <c r="W27" s="323" t="s">
        <v>84</v>
      </c>
      <c r="X27" s="324"/>
      <c r="Y27" s="128"/>
      <c r="Z27" s="335" t="s">
        <v>81</v>
      </c>
      <c r="AA27" s="310"/>
    </row>
    <row r="28" spans="1:28" ht="14.4" x14ac:dyDescent="0.3">
      <c r="B28" s="299"/>
      <c r="C28" s="431"/>
      <c r="D28" s="432"/>
      <c r="E28" s="433"/>
      <c r="F28" s="434" t="s">
        <v>79</v>
      </c>
      <c r="G28" s="435"/>
      <c r="H28" s="313"/>
      <c r="I28" s="314"/>
      <c r="J28" s="317"/>
      <c r="K28" s="318"/>
      <c r="L28" s="321"/>
      <c r="M28" s="322"/>
      <c r="N28" s="325"/>
      <c r="O28" s="326"/>
      <c r="P28" s="278"/>
      <c r="Q28" s="313"/>
      <c r="R28" s="314"/>
      <c r="S28" s="317"/>
      <c r="T28" s="318"/>
      <c r="U28" s="321"/>
      <c r="V28" s="322"/>
      <c r="W28" s="325"/>
      <c r="X28" s="326"/>
      <c r="Y28" s="129"/>
      <c r="Z28" s="436" t="s">
        <v>82</v>
      </c>
      <c r="AA28" s="435"/>
    </row>
    <row r="29" spans="1:28" ht="15" thickBot="1" x14ac:dyDescent="0.35">
      <c r="B29" s="299"/>
      <c r="C29" s="437"/>
      <c r="D29" s="438"/>
      <c r="E29" s="439"/>
      <c r="F29" s="440" t="s">
        <v>80</v>
      </c>
      <c r="G29" s="441"/>
      <c r="H29" s="442"/>
      <c r="I29" s="443"/>
      <c r="J29" s="444" t="s">
        <v>85</v>
      </c>
      <c r="K29" s="443"/>
      <c r="L29" s="444" t="s">
        <v>85</v>
      </c>
      <c r="M29" s="443"/>
      <c r="N29" s="444" t="s">
        <v>85</v>
      </c>
      <c r="O29" s="443"/>
      <c r="P29" s="445"/>
      <c r="Q29" s="442"/>
      <c r="R29" s="443"/>
      <c r="S29" s="444" t="s">
        <v>85</v>
      </c>
      <c r="T29" s="443"/>
      <c r="U29" s="444" t="s">
        <v>85</v>
      </c>
      <c r="V29" s="443"/>
      <c r="W29" s="444" t="s">
        <v>85</v>
      </c>
      <c r="X29" s="443"/>
      <c r="Y29" s="446"/>
      <c r="Z29" s="447" t="s">
        <v>83</v>
      </c>
      <c r="AA29" s="441"/>
    </row>
    <row r="30" spans="1:28" ht="14.4" x14ac:dyDescent="0.3">
      <c r="B30" s="17"/>
      <c r="C30" s="17"/>
      <c r="D30" s="17"/>
      <c r="E30" s="17"/>
      <c r="F30" s="18"/>
      <c r="G30" s="18"/>
      <c r="H30" s="120"/>
      <c r="I30" s="18"/>
      <c r="J30" s="120"/>
      <c r="K30" s="18"/>
      <c r="L30" s="120"/>
      <c r="M30" s="18"/>
      <c r="N30" s="120"/>
      <c r="O30" s="18"/>
      <c r="P30" s="18"/>
      <c r="Q30" s="120"/>
      <c r="R30" s="18"/>
      <c r="S30" s="120"/>
      <c r="T30" s="18"/>
      <c r="U30" s="120"/>
      <c r="V30" s="18"/>
      <c r="W30" s="120"/>
      <c r="X30" s="18"/>
      <c r="Y30" s="18"/>
      <c r="Z30" s="18"/>
      <c r="AA30" s="19"/>
    </row>
    <row r="31" spans="1:28" ht="14.4" x14ac:dyDescent="0.3">
      <c r="B31" s="15"/>
      <c r="C31" s="15"/>
      <c r="D31" s="15"/>
      <c r="E31" s="15"/>
      <c r="F31" s="20">
        <v>10</v>
      </c>
      <c r="G31" s="20">
        <v>10</v>
      </c>
      <c r="H31" s="121">
        <v>10</v>
      </c>
      <c r="I31" s="20"/>
      <c r="J31" s="121">
        <v>10</v>
      </c>
      <c r="K31" s="20">
        <v>10</v>
      </c>
      <c r="L31" s="121">
        <v>10</v>
      </c>
      <c r="M31" s="20"/>
      <c r="N31" s="121"/>
      <c r="O31" s="20"/>
      <c r="P31" s="20"/>
      <c r="Q31" s="121"/>
      <c r="R31" s="20"/>
      <c r="S31" s="121"/>
      <c r="T31" s="20"/>
      <c r="U31" s="121"/>
      <c r="V31" s="20"/>
      <c r="W31" s="121"/>
      <c r="X31" s="20"/>
      <c r="Y31" s="20"/>
      <c r="Z31" s="20"/>
      <c r="AA31" s="15"/>
    </row>
    <row r="32" spans="1:28" ht="14.4" x14ac:dyDescent="0.3">
      <c r="B32" s="16" t="s">
        <v>15</v>
      </c>
      <c r="C32" s="16"/>
      <c r="D32" s="16"/>
      <c r="E32" s="16"/>
      <c r="F32" s="21"/>
      <c r="G32" s="15"/>
      <c r="H32" s="119"/>
      <c r="I32" s="15"/>
      <c r="J32" s="119"/>
      <c r="K32" s="15"/>
      <c r="L32" s="119"/>
      <c r="M32" s="15"/>
      <c r="N32" s="119"/>
      <c r="O32" s="15"/>
      <c r="P32" s="15"/>
      <c r="Q32" s="119"/>
      <c r="R32" s="15"/>
      <c r="S32" s="119"/>
      <c r="T32" s="15"/>
      <c r="U32" s="119"/>
      <c r="V32" s="15"/>
      <c r="W32" s="119"/>
      <c r="X32" s="15"/>
      <c r="Y32" s="15"/>
      <c r="Z32" s="15"/>
      <c r="AA32" s="15"/>
    </row>
    <row r="33" spans="2:27" ht="14.4" x14ac:dyDescent="0.3">
      <c r="B33" s="22" t="s">
        <v>16</v>
      </c>
      <c r="C33" s="22"/>
      <c r="D33" s="22"/>
      <c r="E33" s="22"/>
      <c r="F33" s="15"/>
      <c r="G33" s="15"/>
      <c r="H33" s="119"/>
      <c r="I33" s="15"/>
      <c r="J33" s="119"/>
      <c r="K33" s="15"/>
      <c r="L33" s="119"/>
      <c r="M33" s="15"/>
      <c r="N33" s="119"/>
      <c r="O33" s="15"/>
      <c r="P33" s="15"/>
      <c r="Q33" s="119"/>
      <c r="R33" s="15"/>
      <c r="S33" s="119"/>
      <c r="T33" s="15"/>
      <c r="U33" s="119"/>
      <c r="V33" s="15"/>
      <c r="W33" s="119"/>
      <c r="X33" s="15"/>
      <c r="Y33" s="15"/>
      <c r="Z33" s="15"/>
      <c r="AA33" s="15"/>
    </row>
    <row r="34" spans="2:27" ht="14.4" x14ac:dyDescent="0.3">
      <c r="B34" s="23"/>
      <c r="C34" s="23"/>
      <c r="D34" s="23"/>
      <c r="E34" s="23"/>
      <c r="F34" s="15"/>
      <c r="G34" s="15"/>
      <c r="H34" s="119"/>
      <c r="I34" s="15"/>
      <c r="J34" s="119"/>
      <c r="K34" s="15"/>
      <c r="L34" s="119"/>
      <c r="M34" s="15"/>
      <c r="N34" s="119"/>
      <c r="O34" s="15"/>
      <c r="P34" s="15"/>
      <c r="Q34" s="119"/>
      <c r="R34" s="15"/>
      <c r="S34" s="119"/>
      <c r="T34" s="15"/>
      <c r="U34" s="119"/>
      <c r="V34" s="15"/>
      <c r="W34" s="119"/>
      <c r="X34" s="15"/>
      <c r="Y34" s="15"/>
      <c r="Z34" s="15"/>
      <c r="AA34" s="15"/>
    </row>
    <row r="35" spans="2:27" ht="14.4" x14ac:dyDescent="0.3"/>
    <row r="36" spans="2:27" ht="14.4" x14ac:dyDescent="0.3"/>
    <row r="37" spans="2:27" ht="14.4" hidden="1" x14ac:dyDescent="0.3"/>
    <row r="38" spans="2:27" ht="14.4" hidden="1" x14ac:dyDescent="0.3"/>
    <row r="39" spans="2:27" ht="14.4" hidden="1" x14ac:dyDescent="0.3"/>
    <row r="40" spans="2:27" ht="14.4" hidden="1" x14ac:dyDescent="0.3"/>
    <row r="41" spans="2:27" ht="14.4" hidden="1" x14ac:dyDescent="0.3"/>
    <row r="42" spans="2:27" ht="14.4" hidden="1" x14ac:dyDescent="0.3"/>
    <row r="43" spans="2:27" ht="14.4" hidden="1" x14ac:dyDescent="0.3"/>
    <row r="44" spans="2:27" ht="14.4" hidden="1" x14ac:dyDescent="0.3"/>
    <row r="45" spans="2:27" ht="14.4" hidden="1" x14ac:dyDescent="0.3"/>
    <row r="46" spans="2:27" ht="14.4" hidden="1" x14ac:dyDescent="0.3"/>
    <row r="47" spans="2:27" ht="14.4" hidden="1" x14ac:dyDescent="0.3"/>
    <row r="48" spans="2:27" ht="14.4" hidden="1" x14ac:dyDescent="0.3"/>
    <row r="49" ht="14.4" hidden="1" x14ac:dyDescent="0.3"/>
    <row r="50" ht="14.4" hidden="1" x14ac:dyDescent="0.3"/>
    <row r="51" ht="14.4" hidden="1" x14ac:dyDescent="0.3"/>
    <row r="52" ht="14.4" hidden="1" x14ac:dyDescent="0.3"/>
    <row r="53" ht="14.4" hidden="1" x14ac:dyDescent="0.3"/>
    <row r="54" ht="14.4" hidden="1" x14ac:dyDescent="0.3"/>
    <row r="55" ht="14.4" hidden="1" x14ac:dyDescent="0.3"/>
    <row r="56" ht="14.4" hidden="1" x14ac:dyDescent="0.3"/>
    <row r="57" ht="14.4" hidden="1" x14ac:dyDescent="0.3"/>
    <row r="58" ht="14.4" hidden="1" x14ac:dyDescent="0.3"/>
    <row r="59" ht="14.4" hidden="1" x14ac:dyDescent="0.3"/>
    <row r="60" ht="14.4" hidden="1" x14ac:dyDescent="0.3"/>
    <row r="61" ht="14.4" hidden="1" x14ac:dyDescent="0.3"/>
    <row r="62" ht="14.4" customHeight="1" x14ac:dyDescent="0.3"/>
  </sheetData>
  <sheetProtection algorithmName="SHA-512" hashValue="iqyuAhWDCBH6gVY35jo+3N0qu9fcUiMrY2PgbbfSEoK1UlZPXugU9vK540ak9b65LOMTT7le+0w4UP6Zn5HrsQ==" saltValue="YowbfbkvuxgxPlDcnh3PDw==" spinCount="100000" sheet="1" objects="1" scenarios="1" selectLockedCells="1"/>
  <mergeCells count="45">
    <mergeCell ref="Z5:AA5"/>
    <mergeCell ref="F6:F7"/>
    <mergeCell ref="G6:G7"/>
    <mergeCell ref="H6:P6"/>
    <mergeCell ref="Q6:Y6"/>
    <mergeCell ref="Z6:Z7"/>
    <mergeCell ref="AA6:AA7"/>
    <mergeCell ref="H7:I7"/>
    <mergeCell ref="J7:K7"/>
    <mergeCell ref="L7:M7"/>
    <mergeCell ref="F5:G5"/>
    <mergeCell ref="H5:Y5"/>
    <mergeCell ref="N7:O7"/>
    <mergeCell ref="Q7:R7"/>
    <mergeCell ref="S7:T7"/>
    <mergeCell ref="U7:V7"/>
    <mergeCell ref="W7:X7"/>
    <mergeCell ref="B27:B29"/>
    <mergeCell ref="C27:E29"/>
    <mergeCell ref="F27:G27"/>
    <mergeCell ref="H27:I28"/>
    <mergeCell ref="J27:K28"/>
    <mergeCell ref="L27:M28"/>
    <mergeCell ref="N27:O28"/>
    <mergeCell ref="Q27:R28"/>
    <mergeCell ref="S27:T28"/>
    <mergeCell ref="B5:B7"/>
    <mergeCell ref="C5:C7"/>
    <mergeCell ref="D5:D7"/>
    <mergeCell ref="E5:E7"/>
    <mergeCell ref="F29:G29"/>
    <mergeCell ref="H29:I29"/>
    <mergeCell ref="Z27:AA27"/>
    <mergeCell ref="F28:G28"/>
    <mergeCell ref="Z28:AA28"/>
    <mergeCell ref="Q29:R29"/>
    <mergeCell ref="S29:T29"/>
    <mergeCell ref="U29:V29"/>
    <mergeCell ref="W29:X29"/>
    <mergeCell ref="Z29:AA29"/>
    <mergeCell ref="J29:K29"/>
    <mergeCell ref="L29:M29"/>
    <mergeCell ref="N29:O29"/>
    <mergeCell ref="U27:V28"/>
    <mergeCell ref="W27:X28"/>
  </mergeCells>
  <conditionalFormatting sqref="F8:G9">
    <cfRule type="containsText" dxfId="151" priority="28" operator="containsText" text="N/A">
      <formula>NOT(ISERROR(SEARCH("N/A",F8)))</formula>
    </cfRule>
    <cfRule type="cellIs" dxfId="150" priority="35" operator="between">
      <formula>0.01</formula>
      <formula>13</formula>
    </cfRule>
    <cfRule type="cellIs" dxfId="149" priority="36" operator="between">
      <formula>13</formula>
      <formula>18</formula>
    </cfRule>
    <cfRule type="cellIs" dxfId="148" priority="37" operator="greaterThan">
      <formula>18</formula>
    </cfRule>
    <cfRule type="cellIs" dxfId="147" priority="38" operator="greaterThan">
      <formula>18</formula>
    </cfRule>
  </conditionalFormatting>
  <conditionalFormatting sqref="T8:T9 K8:K9">
    <cfRule type="cellIs" dxfId="146" priority="34" operator="greaterThan">
      <formula>0.5</formula>
    </cfRule>
  </conditionalFormatting>
  <conditionalFormatting sqref="M8:M9 V8:V9">
    <cfRule type="cellIs" dxfId="145" priority="33" operator="greaterThan">
      <formula>0.49</formula>
    </cfRule>
  </conditionalFormatting>
  <conditionalFormatting sqref="X8:X9 O8:O9">
    <cfRule type="cellIs" dxfId="144" priority="32" operator="greaterThan">
      <formula>0.5</formula>
    </cfRule>
  </conditionalFormatting>
  <conditionalFormatting sqref="Z8:AA9">
    <cfRule type="cellIs" dxfId="143" priority="29" operator="between">
      <formula>0.0001</formula>
      <formula>0.1</formula>
    </cfRule>
    <cfRule type="cellIs" dxfId="142" priority="30" operator="between">
      <formula>0.1</formula>
      <formula>0.19</formula>
    </cfRule>
    <cfRule type="cellIs" dxfId="141" priority="31" operator="greaterThan">
      <formula>0.2</formula>
    </cfRule>
  </conditionalFormatting>
  <conditionalFormatting sqref="J8:J24">
    <cfRule type="expression" dxfId="140" priority="27">
      <formula>($J8/$P8*100)&gt;49.49</formula>
    </cfRule>
  </conditionalFormatting>
  <conditionalFormatting sqref="L8:L24">
    <cfRule type="expression" dxfId="139" priority="26">
      <formula>($L8/$P8*100)&gt;49.49</formula>
    </cfRule>
  </conditionalFormatting>
  <conditionalFormatting sqref="N8:N24">
    <cfRule type="expression" dxfId="138" priority="25">
      <formula>($N8/$P8*100)&gt;49.49</formula>
    </cfRule>
  </conditionalFormatting>
  <conditionalFormatting sqref="S8:S24">
    <cfRule type="expression" dxfId="137" priority="24">
      <formula>($S8/$Y8*100)&gt;49.49</formula>
    </cfRule>
  </conditionalFormatting>
  <conditionalFormatting sqref="U8:U24">
    <cfRule type="expression" dxfId="136" priority="23">
      <formula>($U8/$Y8*100)&gt;49.49</formula>
    </cfRule>
  </conditionalFormatting>
  <conditionalFormatting sqref="W8:W24">
    <cfRule type="expression" dxfId="135" priority="22">
      <formula>($W8/$Y8*100)&gt;49.49</formula>
    </cfRule>
  </conditionalFormatting>
  <conditionalFormatting sqref="L9">
    <cfRule type="expression" dxfId="134" priority="21">
      <formula>"$M$9=&gt;.499"</formula>
    </cfRule>
  </conditionalFormatting>
  <conditionalFormatting sqref="F8:AA24">
    <cfRule type="expression" dxfId="133" priority="20">
      <formula>$F8="No data"</formula>
    </cfRule>
  </conditionalFormatting>
  <conditionalFormatting sqref="F10:G24">
    <cfRule type="containsText" dxfId="132" priority="9" operator="containsText" text="N/A">
      <formula>NOT(ISERROR(SEARCH("N/A",F10)))</formula>
    </cfRule>
    <cfRule type="cellIs" dxfId="131" priority="16" operator="between">
      <formula>0.01</formula>
      <formula>13</formula>
    </cfRule>
    <cfRule type="cellIs" dxfId="130" priority="17" operator="between">
      <formula>13</formula>
      <formula>18</formula>
    </cfRule>
    <cfRule type="cellIs" dxfId="129" priority="18" operator="greaterThan">
      <formula>18</formula>
    </cfRule>
    <cfRule type="cellIs" dxfId="128" priority="19" operator="greaterThan">
      <formula>18</formula>
    </cfRule>
  </conditionalFormatting>
  <conditionalFormatting sqref="T10:T24 K10:K24">
    <cfRule type="cellIs" dxfId="127" priority="15" operator="greaterThan">
      <formula>0.5</formula>
    </cfRule>
  </conditionalFormatting>
  <conditionalFormatting sqref="M10:M24 V10:V24">
    <cfRule type="cellIs" dxfId="126" priority="14" operator="greaterThan">
      <formula>0.49</formula>
    </cfRule>
  </conditionalFormatting>
  <conditionalFormatting sqref="X10:X24 O10:O24">
    <cfRule type="cellIs" dxfId="125" priority="13" operator="greaterThan">
      <formula>0.5</formula>
    </cfRule>
  </conditionalFormatting>
  <conditionalFormatting sqref="Z10:AA24">
    <cfRule type="cellIs" dxfId="124" priority="10" operator="between">
      <formula>0.0001</formula>
      <formula>0.1</formula>
    </cfRule>
    <cfRule type="cellIs" dxfId="123" priority="11" operator="between">
      <formula>0.1</formula>
      <formula>0.19</formula>
    </cfRule>
    <cfRule type="cellIs" dxfId="122" priority="12" operator="greaterThan">
      <formula>0.2</formula>
    </cfRule>
  </conditionalFormatting>
  <conditionalFormatting sqref="L11 L13 L15 L17 L19 L21 L23">
    <cfRule type="expression" dxfId="121" priority="2">
      <formula>"$M$9=&gt;.499"</formula>
    </cfRule>
  </conditionalFormatting>
  <hyperlinks>
    <hyperlink ref="C27:E29" location="Sheet1!A1" display="For more information on rag ratings please click here" xr:uid="{00000000-0004-0000-0500-000000000000}"/>
    <hyperlink ref="B3" location="'Front Page'!A1" display="Return to Contents" xr:uid="{00000000-0004-0000-0500-000001000000}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D62"/>
  <sheetViews>
    <sheetView showGridLines="0" zoomScale="80" zoomScaleNormal="80" workbookViewId="0">
      <selection activeCell="B3" sqref="B3"/>
    </sheetView>
  </sheetViews>
  <sheetFormatPr defaultColWidth="0" defaultRowHeight="0" customHeight="1" zeroHeight="1" x14ac:dyDescent="0.3"/>
  <cols>
    <col min="1" max="1" width="4" style="178" customWidth="1"/>
    <col min="2" max="2" width="59.6640625" style="178" customWidth="1"/>
    <col min="3" max="3" width="11.6640625" style="178" customWidth="1"/>
    <col min="4" max="4" width="7.6640625" style="178" customWidth="1"/>
    <col min="5" max="5" width="10" style="178" customWidth="1"/>
    <col min="6" max="7" width="12" style="178" customWidth="1"/>
    <col min="8" max="8" width="5.109375" style="448" customWidth="1"/>
    <col min="9" max="9" width="6.88671875" style="178" customWidth="1"/>
    <col min="10" max="10" width="5.109375" style="448" customWidth="1"/>
    <col min="11" max="11" width="6.88671875" style="178" customWidth="1"/>
    <col min="12" max="12" width="5.109375" style="448" customWidth="1"/>
    <col min="13" max="13" width="6.88671875" style="178" customWidth="1"/>
    <col min="14" max="14" width="5.109375" style="448" customWidth="1"/>
    <col min="15" max="15" width="6.88671875" style="178" customWidth="1"/>
    <col min="16" max="16" width="11.5546875" style="178" customWidth="1"/>
    <col min="17" max="17" width="5.109375" style="448" customWidth="1"/>
    <col min="18" max="18" width="6.88671875" style="178" customWidth="1"/>
    <col min="19" max="19" width="5.109375" style="448" customWidth="1"/>
    <col min="20" max="20" width="6.88671875" style="178" customWidth="1"/>
    <col min="21" max="21" width="5.109375" style="448" customWidth="1"/>
    <col min="22" max="22" width="6.88671875" style="178" customWidth="1"/>
    <col min="23" max="23" width="5.109375" style="448" customWidth="1"/>
    <col min="24" max="24" width="6.88671875" style="178" customWidth="1"/>
    <col min="25" max="25" width="11.5546875" style="178" customWidth="1"/>
    <col min="26" max="27" width="10.6640625" style="178" customWidth="1"/>
    <col min="28" max="28" width="9.109375" style="178" customWidth="1"/>
    <col min="29" max="30" width="0" style="33" hidden="1" customWidth="1"/>
    <col min="31" max="16384" width="9.109375" style="33" hidden="1"/>
  </cols>
  <sheetData>
    <row r="1" spans="1:28" ht="35.25" customHeight="1" x14ac:dyDescent="0.3">
      <c r="A1" s="10"/>
      <c r="B1" s="96" t="s">
        <v>101</v>
      </c>
      <c r="C1" s="83"/>
      <c r="D1" s="83"/>
      <c r="E1" s="83"/>
      <c r="F1" s="83"/>
      <c r="G1" s="83"/>
      <c r="H1" s="116"/>
      <c r="I1" s="83"/>
      <c r="J1" s="116"/>
      <c r="K1" s="83"/>
      <c r="L1" s="116"/>
      <c r="M1" s="83"/>
      <c r="N1" s="116"/>
      <c r="O1" s="83"/>
      <c r="P1" s="83"/>
      <c r="Q1" s="116"/>
      <c r="R1" s="83"/>
      <c r="S1" s="116"/>
      <c r="T1" s="83"/>
      <c r="U1" s="116"/>
      <c r="V1" s="83"/>
      <c r="W1" s="116"/>
      <c r="X1" s="83"/>
      <c r="Y1" s="83"/>
      <c r="Z1" s="83"/>
      <c r="AA1" s="83"/>
      <c r="AB1" s="83"/>
    </row>
    <row r="2" spans="1:28" s="41" customFormat="1" ht="5.0999999999999996" customHeight="1" x14ac:dyDescent="0.3">
      <c r="B2" s="123"/>
      <c r="C2" s="124"/>
      <c r="D2" s="124"/>
      <c r="E2" s="124"/>
      <c r="F2" s="124"/>
      <c r="G2" s="124"/>
      <c r="H2" s="125"/>
      <c r="I2" s="124"/>
      <c r="J2" s="125"/>
      <c r="K2" s="124"/>
      <c r="L2" s="125"/>
      <c r="M2" s="124"/>
      <c r="N2" s="125"/>
      <c r="O2" s="124"/>
      <c r="P2" s="124"/>
      <c r="Q2" s="125"/>
      <c r="R2" s="124"/>
      <c r="S2" s="125"/>
      <c r="T2" s="124"/>
      <c r="U2" s="125"/>
      <c r="V2" s="124"/>
      <c r="W2" s="125"/>
      <c r="X2" s="124"/>
      <c r="Y2" s="124"/>
      <c r="AB2" s="124"/>
    </row>
    <row r="3" spans="1:28" s="92" customFormat="1" ht="31.5" customHeight="1" x14ac:dyDescent="0.35">
      <c r="B3" s="449" t="s">
        <v>95</v>
      </c>
      <c r="C3" s="93"/>
      <c r="D3" s="93"/>
      <c r="E3" s="93"/>
      <c r="F3" s="93"/>
      <c r="H3" s="117"/>
      <c r="I3" s="93"/>
      <c r="J3" s="117"/>
      <c r="K3" s="93"/>
      <c r="L3" s="117"/>
      <c r="M3" s="94"/>
      <c r="N3" s="117"/>
      <c r="O3" s="94"/>
      <c r="P3" s="94"/>
      <c r="Q3" s="117"/>
      <c r="R3" s="94"/>
      <c r="S3" s="117"/>
      <c r="T3" s="94"/>
      <c r="U3" s="117"/>
      <c r="V3" s="94"/>
      <c r="W3" s="117"/>
      <c r="X3" s="94"/>
      <c r="Y3" s="94"/>
      <c r="Z3" s="93"/>
      <c r="AA3" s="95"/>
    </row>
    <row r="4" spans="1:28" ht="35.4" customHeight="1" thickBot="1" x14ac:dyDescent="0.5">
      <c r="B4" s="127" t="s">
        <v>204</v>
      </c>
      <c r="C4" s="13"/>
      <c r="D4" s="13"/>
      <c r="E4" s="13"/>
      <c r="F4" s="42"/>
      <c r="G4" s="13"/>
      <c r="H4" s="118"/>
      <c r="I4" s="13"/>
      <c r="J4" s="118"/>
      <c r="K4" s="13"/>
      <c r="L4" s="118"/>
      <c r="M4" s="14"/>
      <c r="N4" s="118"/>
      <c r="O4" s="14"/>
      <c r="P4" s="14"/>
      <c r="Q4" s="118"/>
      <c r="R4" s="14"/>
      <c r="S4" s="118"/>
      <c r="T4" s="14"/>
      <c r="U4" s="118"/>
      <c r="V4" s="14"/>
      <c r="W4" s="118"/>
      <c r="X4" s="14"/>
      <c r="Y4" s="14"/>
      <c r="Z4" s="13"/>
      <c r="AA4" s="15"/>
    </row>
    <row r="5" spans="1:28" ht="30.75" customHeight="1" thickTop="1" thickBot="1" x14ac:dyDescent="0.35">
      <c r="B5" s="327" t="s">
        <v>14</v>
      </c>
      <c r="C5" s="328" t="s">
        <v>18</v>
      </c>
      <c r="D5" s="328" t="s">
        <v>65</v>
      </c>
      <c r="E5" s="328" t="s">
        <v>19</v>
      </c>
      <c r="F5" s="288" t="s">
        <v>24</v>
      </c>
      <c r="G5" s="289"/>
      <c r="H5" s="288" t="s">
        <v>27</v>
      </c>
      <c r="I5" s="294"/>
      <c r="J5" s="294"/>
      <c r="K5" s="294"/>
      <c r="L5" s="294"/>
      <c r="M5" s="294"/>
      <c r="N5" s="294"/>
      <c r="O5" s="294"/>
      <c r="P5" s="294"/>
      <c r="Q5" s="294"/>
      <c r="R5" s="294"/>
      <c r="S5" s="294"/>
      <c r="T5" s="294"/>
      <c r="U5" s="294"/>
      <c r="V5" s="294"/>
      <c r="W5" s="294"/>
      <c r="X5" s="294"/>
      <c r="Y5" s="294"/>
      <c r="Z5" s="288" t="s">
        <v>3</v>
      </c>
      <c r="AA5" s="289"/>
    </row>
    <row r="6" spans="1:28" ht="44.1" customHeight="1" thickTop="1" thickBot="1" x14ac:dyDescent="0.35">
      <c r="B6" s="327"/>
      <c r="C6" s="329"/>
      <c r="D6" s="329"/>
      <c r="E6" s="329"/>
      <c r="F6" s="290" t="s">
        <v>25</v>
      </c>
      <c r="G6" s="292" t="s">
        <v>26</v>
      </c>
      <c r="H6" s="288" t="s">
        <v>32</v>
      </c>
      <c r="I6" s="294"/>
      <c r="J6" s="294"/>
      <c r="K6" s="294"/>
      <c r="L6" s="294"/>
      <c r="M6" s="294"/>
      <c r="N6" s="294"/>
      <c r="O6" s="294"/>
      <c r="P6" s="294"/>
      <c r="Q6" s="288" t="s">
        <v>31</v>
      </c>
      <c r="R6" s="294"/>
      <c r="S6" s="294"/>
      <c r="T6" s="294"/>
      <c r="U6" s="294"/>
      <c r="V6" s="294"/>
      <c r="W6" s="294"/>
      <c r="X6" s="294"/>
      <c r="Y6" s="294"/>
      <c r="Z6" s="290" t="s">
        <v>9</v>
      </c>
      <c r="AA6" s="292" t="s">
        <v>17</v>
      </c>
    </row>
    <row r="7" spans="1:28" ht="51.75" customHeight="1" thickTop="1" thickBot="1" x14ac:dyDescent="0.35">
      <c r="B7" s="327"/>
      <c r="C7" s="330"/>
      <c r="D7" s="330"/>
      <c r="E7" s="330"/>
      <c r="F7" s="291"/>
      <c r="G7" s="293"/>
      <c r="H7" s="295" t="s">
        <v>117</v>
      </c>
      <c r="I7" s="296"/>
      <c r="J7" s="297" t="s">
        <v>28</v>
      </c>
      <c r="K7" s="297"/>
      <c r="L7" s="297" t="s">
        <v>29</v>
      </c>
      <c r="M7" s="297"/>
      <c r="N7" s="298" t="s">
        <v>30</v>
      </c>
      <c r="O7" s="297"/>
      <c r="P7" s="276" t="s">
        <v>118</v>
      </c>
      <c r="Q7" s="295" t="s">
        <v>117</v>
      </c>
      <c r="R7" s="296"/>
      <c r="S7" s="297" t="s">
        <v>28</v>
      </c>
      <c r="T7" s="297"/>
      <c r="U7" s="297" t="s">
        <v>29</v>
      </c>
      <c r="V7" s="297"/>
      <c r="W7" s="298" t="s">
        <v>30</v>
      </c>
      <c r="X7" s="297"/>
      <c r="Y7" s="276" t="s">
        <v>118</v>
      </c>
      <c r="Z7" s="291"/>
      <c r="AA7" s="293"/>
    </row>
    <row r="8" spans="1:28" s="82" customFormat="1" ht="21.75" customHeight="1" thickTop="1" thickBot="1" x14ac:dyDescent="0.35">
      <c r="A8" s="427"/>
      <c r="B8" s="450" t="s">
        <v>164</v>
      </c>
      <c r="C8" s="450" t="s">
        <v>23</v>
      </c>
      <c r="D8" s="451">
        <v>1</v>
      </c>
      <c r="E8" s="450" t="s">
        <v>21</v>
      </c>
      <c r="F8" s="213">
        <f>INDEX(Q2_Paeds,15,7)</f>
        <v>70</v>
      </c>
      <c r="G8" s="213">
        <f>INDEX(Q2_Paeds,15,8)</f>
        <v>0</v>
      </c>
      <c r="H8" s="199">
        <f>INDEX(Q2_Paeds,15,9)</f>
        <v>303</v>
      </c>
      <c r="I8" s="200">
        <f>IFERROR(H8/P8,0)</f>
        <v>0.24415793714746173</v>
      </c>
      <c r="J8" s="201">
        <f>INDEX(Q2_Paeds,15,10)</f>
        <v>254</v>
      </c>
      <c r="K8" s="200">
        <f>IFERROR(J8/P8,0)</f>
        <v>0.20467365028203063</v>
      </c>
      <c r="L8" s="201">
        <f>INDEX(Q2_Paeds,15,11)</f>
        <v>423</v>
      </c>
      <c r="M8" s="200">
        <f>IFERROR(L8/P8,0)</f>
        <v>0.34085414987912971</v>
      </c>
      <c r="N8" s="201">
        <f>INDEX(Q2_Paeds,15,12)</f>
        <v>261</v>
      </c>
      <c r="O8" s="200">
        <f>IFERROR(N8/P8,0)</f>
        <v>0.21031426269137793</v>
      </c>
      <c r="P8" s="202">
        <f>INDEX(Q2_Paeds,15,13)</f>
        <v>1241</v>
      </c>
      <c r="Q8" s="199">
        <f>INDEX(Q2_Paeds,15,15)</f>
        <v>0</v>
      </c>
      <c r="R8" s="200">
        <f>IFERROR(Q8/Y8,0)</f>
        <v>0</v>
      </c>
      <c r="S8" s="201">
        <f>INDEX(Q2_Paeds,15,16)</f>
        <v>0</v>
      </c>
      <c r="T8" s="200">
        <f>IFERROR(S8/Y8,0)</f>
        <v>0</v>
      </c>
      <c r="U8" s="423">
        <f>INDEX(Q2_Paeds,15,17)</f>
        <v>0</v>
      </c>
      <c r="V8" s="200">
        <f>IFERROR(U8/Y8,0)</f>
        <v>0</v>
      </c>
      <c r="W8" s="201">
        <f>INDEX(Q2_Paeds,15,18)</f>
        <v>0</v>
      </c>
      <c r="X8" s="200">
        <f>IFERROR(W8/Y8,0)</f>
        <v>0</v>
      </c>
      <c r="Y8" s="202">
        <f>INDEX(Q2_Paeds,15,19)</f>
        <v>0</v>
      </c>
      <c r="Z8" s="214">
        <f>INDEX(Q2_Paeds,15,21)</f>
        <v>0.09</v>
      </c>
      <c r="AA8" s="215">
        <f>INDEX(Q2_Paeds,15,22)</f>
        <v>0</v>
      </c>
      <c r="AB8" s="427"/>
    </row>
    <row r="9" spans="1:28" s="8" customFormat="1" ht="21.75" customHeight="1" thickTop="1" thickBot="1" x14ac:dyDescent="0.35">
      <c r="A9" s="420"/>
      <c r="B9" s="452" t="s">
        <v>158</v>
      </c>
      <c r="C9" s="452" t="s">
        <v>23</v>
      </c>
      <c r="D9" s="453">
        <v>2</v>
      </c>
      <c r="E9" s="452" t="s">
        <v>22</v>
      </c>
      <c r="F9" s="216">
        <f>INDEX(Q2_Paeds,6,7)</f>
        <v>17</v>
      </c>
      <c r="G9" s="217">
        <f>INDEX(Q2_Paeds,6,8)</f>
        <v>0</v>
      </c>
      <c r="H9" s="204">
        <f>INDEX(Q2_Paeds,6,9)</f>
        <v>140</v>
      </c>
      <c r="I9" s="205">
        <f>IFERROR(H9/P9,0)</f>
        <v>0.19801980198019803</v>
      </c>
      <c r="J9" s="206">
        <f>INDEX(Q2_Paeds,6,10)</f>
        <v>132</v>
      </c>
      <c r="K9" s="205">
        <f>IFERROR(J9/P9,0)</f>
        <v>0.18670438472418671</v>
      </c>
      <c r="L9" s="206">
        <f>INDEX(Q2_Paeds,6,11)</f>
        <v>280</v>
      </c>
      <c r="M9" s="205">
        <f>IFERROR(L9/P9,0)</f>
        <v>0.39603960396039606</v>
      </c>
      <c r="N9" s="206">
        <f>INDEX(Q2_Paeds,6,12)</f>
        <v>155</v>
      </c>
      <c r="O9" s="205">
        <f>IFERROR(N9/P9,0)</f>
        <v>0.21923620933521923</v>
      </c>
      <c r="P9" s="207">
        <f>INDEX(Q2_Paeds,6,13)</f>
        <v>707</v>
      </c>
      <c r="Q9" s="208">
        <f>INDEX(Q2_Paeds,6,15)</f>
        <v>0</v>
      </c>
      <c r="R9" s="205">
        <f>IFERROR(Q9/Y9,0)</f>
        <v>0</v>
      </c>
      <c r="S9" s="206">
        <f>INDEX(Q2_Paeds,6,16)</f>
        <v>0</v>
      </c>
      <c r="T9" s="205">
        <f>IFERROR(S9/Y9,0)</f>
        <v>0</v>
      </c>
      <c r="U9" s="426">
        <f>INDEX(Q2_Paeds,6,17)</f>
        <v>0</v>
      </c>
      <c r="V9" s="205">
        <f>IFERROR(U9/Y9,0)</f>
        <v>0</v>
      </c>
      <c r="W9" s="206">
        <f>INDEX(Q2_Paeds,6,18)</f>
        <v>0</v>
      </c>
      <c r="X9" s="205">
        <f>IFERROR(W9/Y9,0)</f>
        <v>0</v>
      </c>
      <c r="Y9" s="207">
        <f>INDEX(Q2_Paeds,6,19)</f>
        <v>0</v>
      </c>
      <c r="Z9" s="218">
        <f>INDEX(Q2_Paeds,6,21)</f>
        <v>7.0000000000000007E-2</v>
      </c>
      <c r="AA9" s="219">
        <f>INDEX(Q2_Paeds,6,22)</f>
        <v>0</v>
      </c>
      <c r="AB9" s="420"/>
    </row>
    <row r="10" spans="1:28" s="8" customFormat="1" ht="21.75" customHeight="1" thickTop="1" thickBot="1" x14ac:dyDescent="0.35">
      <c r="A10" s="420"/>
      <c r="B10" s="421" t="s">
        <v>157</v>
      </c>
      <c r="C10" s="421" t="s">
        <v>23</v>
      </c>
      <c r="D10" s="422">
        <v>3</v>
      </c>
      <c r="E10" s="421" t="s">
        <v>22</v>
      </c>
      <c r="F10" s="213">
        <f>INDEX(Q2_Paeds,5,7)</f>
        <v>30</v>
      </c>
      <c r="G10" s="220">
        <f>INDEX(Q2_Paeds,5,8)</f>
        <v>12</v>
      </c>
      <c r="H10" s="210">
        <f>INDEX(Q2_Paeds,5,9)</f>
        <v>29</v>
      </c>
      <c r="I10" s="200">
        <f>IFERROR(H10/P10,0)</f>
        <v>0.1657142857142857</v>
      </c>
      <c r="J10" s="201">
        <f>INDEX(Q2_Paeds,5,10)</f>
        <v>31</v>
      </c>
      <c r="K10" s="200">
        <f>IFERROR(J10/P10,0)</f>
        <v>0.17714285714285713</v>
      </c>
      <c r="L10" s="201">
        <f>INDEX(Q2_Paeds,5,11)</f>
        <v>60</v>
      </c>
      <c r="M10" s="200">
        <f>IFERROR(L10/P10,0)</f>
        <v>0.34285714285714286</v>
      </c>
      <c r="N10" s="201">
        <f>INDEX(Q2_Paeds,5,12)</f>
        <v>55</v>
      </c>
      <c r="O10" s="200">
        <f>IFERROR(N10/P10,0)</f>
        <v>0.31428571428571428</v>
      </c>
      <c r="P10" s="202">
        <f>INDEX(Q2_Paeds,5,13)</f>
        <v>175</v>
      </c>
      <c r="Q10" s="199">
        <f>INDEX(Q2_Paeds,5,15)</f>
        <v>58</v>
      </c>
      <c r="R10" s="200">
        <f>IFERROR(Q10/Y10,0)</f>
        <v>0.16246498599439776</v>
      </c>
      <c r="S10" s="201">
        <f>INDEX(Q2_Paeds,5,16)</f>
        <v>34</v>
      </c>
      <c r="T10" s="200">
        <f>IFERROR(S10/Y10,0)</f>
        <v>9.5238095238095233E-2</v>
      </c>
      <c r="U10" s="423">
        <f>INDEX(Q2_Paeds,5,17)</f>
        <v>140</v>
      </c>
      <c r="V10" s="200">
        <f>IFERROR(U10/Y10,0)</f>
        <v>0.39215686274509803</v>
      </c>
      <c r="W10" s="201">
        <f>INDEX(Q2_Paeds,5,18)</f>
        <v>125</v>
      </c>
      <c r="X10" s="200">
        <f>IFERROR(W10/Y10,0)</f>
        <v>0.35014005602240894</v>
      </c>
      <c r="Y10" s="202">
        <f>INDEX(Q2_Paeds,5,19)</f>
        <v>357</v>
      </c>
      <c r="Z10" s="214">
        <f>INDEX(Q2_Paeds,5,21)</f>
        <v>0.13</v>
      </c>
      <c r="AA10" s="215">
        <f>INDEX(Q2_Paeds,5,22)</f>
        <v>0.08</v>
      </c>
      <c r="AB10" s="420"/>
    </row>
    <row r="11" spans="1:28" s="8" customFormat="1" ht="21.75" customHeight="1" thickTop="1" thickBot="1" x14ac:dyDescent="0.35">
      <c r="A11" s="420"/>
      <c r="B11" s="454" t="s">
        <v>159</v>
      </c>
      <c r="C11" s="454" t="s">
        <v>23</v>
      </c>
      <c r="D11" s="455">
        <v>3</v>
      </c>
      <c r="E11" s="454" t="s">
        <v>22</v>
      </c>
      <c r="F11" s="216">
        <f>INDEX(Q2_Paeds,7,7)</f>
        <v>0</v>
      </c>
      <c r="G11" s="217">
        <f>INDEX(Q2_Paeds,7,8)</f>
        <v>0</v>
      </c>
      <c r="H11" s="204">
        <f>INDEX(Q2_Paeds,7,9)</f>
        <v>16</v>
      </c>
      <c r="I11" s="205">
        <f t="shared" ref="I11:I25" si="0">IFERROR(H11/P11,0)</f>
        <v>1</v>
      </c>
      <c r="J11" s="206">
        <f>INDEX(Q2_Paeds,7,10)</f>
        <v>0</v>
      </c>
      <c r="K11" s="205">
        <f t="shared" ref="K11:K25" si="1">IFERROR(J11/P11,0)</f>
        <v>0</v>
      </c>
      <c r="L11" s="206">
        <f>INDEX(Q2_Paeds,7,11)</f>
        <v>0</v>
      </c>
      <c r="M11" s="205">
        <f t="shared" ref="M11:M25" si="2">IFERROR(L11/P11,0)</f>
        <v>0</v>
      </c>
      <c r="N11" s="206">
        <f>INDEX(Q2_Paeds,7,12)</f>
        <v>0</v>
      </c>
      <c r="O11" s="205">
        <f t="shared" ref="O11:O25" si="3">IFERROR(N11/P11,0)</f>
        <v>0</v>
      </c>
      <c r="P11" s="207">
        <f>INDEX(Q2_Paeds,7,13)</f>
        <v>16</v>
      </c>
      <c r="Q11" s="208">
        <f>INDEX(Q2_Paeds,7,15)</f>
        <v>0</v>
      </c>
      <c r="R11" s="205">
        <f t="shared" ref="R11:R25" si="4">IFERROR(Q11/Y11,0)</f>
        <v>0</v>
      </c>
      <c r="S11" s="206">
        <f>INDEX(Q2_Paeds,7,16)</f>
        <v>49</v>
      </c>
      <c r="T11" s="205">
        <f t="shared" ref="T11:T25" si="5">IFERROR(S11/Y11,0)</f>
        <v>0.26063829787234044</v>
      </c>
      <c r="U11" s="426">
        <f>INDEX(Q2_Paeds,7,17)</f>
        <v>111</v>
      </c>
      <c r="V11" s="205">
        <f t="shared" ref="V11:V25" si="6">IFERROR(U11/Y11,0)</f>
        <v>0.59042553191489366</v>
      </c>
      <c r="W11" s="206">
        <f>INDEX(Q2_Paeds,7,18)</f>
        <v>28</v>
      </c>
      <c r="X11" s="205">
        <f t="shared" ref="X11:X25" si="7">IFERROR(W11/Y11,0)</f>
        <v>0.14893617021276595</v>
      </c>
      <c r="Y11" s="207">
        <f>INDEX(Q2_Paeds,7,19)</f>
        <v>188</v>
      </c>
      <c r="Z11" s="218">
        <f>INDEX(Q2_Paeds,7,21)</f>
        <v>0.12</v>
      </c>
      <c r="AA11" s="219">
        <f>INDEX(Q2_Paeds,7,22)</f>
        <v>0.05</v>
      </c>
      <c r="AB11" s="420"/>
    </row>
    <row r="12" spans="1:28" s="8" customFormat="1" ht="21.75" customHeight="1" thickTop="1" thickBot="1" x14ac:dyDescent="0.35">
      <c r="A12" s="420"/>
      <c r="B12" s="450" t="s">
        <v>160</v>
      </c>
      <c r="C12" s="450" t="s">
        <v>23</v>
      </c>
      <c r="D12" s="451">
        <v>3</v>
      </c>
      <c r="E12" s="450" t="s">
        <v>22</v>
      </c>
      <c r="F12" s="213">
        <f>INDEX(Q2_Paeds,8,7)</f>
        <v>13</v>
      </c>
      <c r="G12" s="220">
        <f>INDEX(Q2_Paeds,8,8)</f>
        <v>3</v>
      </c>
      <c r="H12" s="210">
        <f>INDEX(Q2_Paeds,8,9)</f>
        <v>1</v>
      </c>
      <c r="I12" s="200">
        <f t="shared" si="0"/>
        <v>1</v>
      </c>
      <c r="J12" s="201">
        <f>INDEX(Q2_Paeds,8,10)</f>
        <v>0</v>
      </c>
      <c r="K12" s="200">
        <f t="shared" si="1"/>
        <v>0</v>
      </c>
      <c r="L12" s="201">
        <f>INDEX(Q2_Paeds,8,11)</f>
        <v>0</v>
      </c>
      <c r="M12" s="200">
        <f t="shared" si="2"/>
        <v>0</v>
      </c>
      <c r="N12" s="201">
        <f>INDEX(Q2_Paeds,8,12)</f>
        <v>0</v>
      </c>
      <c r="O12" s="200">
        <f t="shared" si="3"/>
        <v>0</v>
      </c>
      <c r="P12" s="202">
        <f>INDEX(Q2_Paeds,8,13)</f>
        <v>1</v>
      </c>
      <c r="Q12" s="199">
        <f>INDEX(Q2_Paeds,8,15)</f>
        <v>1</v>
      </c>
      <c r="R12" s="200">
        <f t="shared" si="4"/>
        <v>9.0909090909090912E-2</v>
      </c>
      <c r="S12" s="201">
        <f>INDEX(Q2_Paeds,8,16)</f>
        <v>1</v>
      </c>
      <c r="T12" s="200">
        <f t="shared" si="5"/>
        <v>9.0909090909090912E-2</v>
      </c>
      <c r="U12" s="423">
        <f>INDEX(Q2_Paeds,8,17)</f>
        <v>3</v>
      </c>
      <c r="V12" s="200">
        <f t="shared" si="6"/>
        <v>0.27272727272727271</v>
      </c>
      <c r="W12" s="201">
        <f>INDEX(Q2_Paeds,8,18)</f>
        <v>6</v>
      </c>
      <c r="X12" s="200">
        <f t="shared" si="7"/>
        <v>0.54545454545454541</v>
      </c>
      <c r="Y12" s="202">
        <f>INDEX(Q2_Paeds,8,19)</f>
        <v>11</v>
      </c>
      <c r="Z12" s="214">
        <f>INDEX(Q2_Paeds,8,21)</f>
        <v>0.22</v>
      </c>
      <c r="AA12" s="215">
        <f>INDEX(Q2_Paeds,8,22)</f>
        <v>0.37</v>
      </c>
      <c r="AB12" s="420"/>
    </row>
    <row r="13" spans="1:28" s="8" customFormat="1" ht="21.75" customHeight="1" thickTop="1" thickBot="1" x14ac:dyDescent="0.35">
      <c r="A13" s="420"/>
      <c r="B13" s="452" t="s">
        <v>161</v>
      </c>
      <c r="C13" s="452" t="s">
        <v>23</v>
      </c>
      <c r="D13" s="453">
        <v>3</v>
      </c>
      <c r="E13" s="452" t="s">
        <v>22</v>
      </c>
      <c r="F13" s="216">
        <f>INDEX(Q2_Paeds,9,7)</f>
        <v>14</v>
      </c>
      <c r="G13" s="217">
        <f>INDEX(Q2_Paeds,9,8)</f>
        <v>14</v>
      </c>
      <c r="H13" s="204">
        <f>INDEX(Q2_Paeds,9,9)</f>
        <v>1</v>
      </c>
      <c r="I13" s="205">
        <f t="shared" si="0"/>
        <v>0.1</v>
      </c>
      <c r="J13" s="206">
        <f>INDEX(Q2_Paeds,9,10)</f>
        <v>1</v>
      </c>
      <c r="K13" s="205">
        <f t="shared" si="1"/>
        <v>0.1</v>
      </c>
      <c r="L13" s="206">
        <f>INDEX(Q2_Paeds,9,11)</f>
        <v>8</v>
      </c>
      <c r="M13" s="205">
        <f t="shared" si="2"/>
        <v>0.8</v>
      </c>
      <c r="N13" s="206">
        <f>INDEX(Q2_Paeds,9,12)</f>
        <v>0</v>
      </c>
      <c r="O13" s="205">
        <f t="shared" si="3"/>
        <v>0</v>
      </c>
      <c r="P13" s="207">
        <f>INDEX(Q2_Paeds,9,13)</f>
        <v>10</v>
      </c>
      <c r="Q13" s="208">
        <f>INDEX(Q2_Paeds,9,15)</f>
        <v>2</v>
      </c>
      <c r="R13" s="205">
        <f t="shared" si="4"/>
        <v>0.22222222222222221</v>
      </c>
      <c r="S13" s="206">
        <f>INDEX(Q2_Paeds,9,16)</f>
        <v>1</v>
      </c>
      <c r="T13" s="205">
        <f t="shared" si="5"/>
        <v>0.1111111111111111</v>
      </c>
      <c r="U13" s="426">
        <f>INDEX(Q2_Paeds,9,17)</f>
        <v>5</v>
      </c>
      <c r="V13" s="205">
        <f t="shared" si="6"/>
        <v>0.55555555555555558</v>
      </c>
      <c r="W13" s="206">
        <f>INDEX(Q2_Paeds,9,18)</f>
        <v>1</v>
      </c>
      <c r="X13" s="205">
        <f t="shared" si="7"/>
        <v>0.1111111111111111</v>
      </c>
      <c r="Y13" s="207">
        <f>INDEX(Q2_Paeds,9,19)</f>
        <v>9</v>
      </c>
      <c r="Z13" s="218">
        <f>INDEX(Q2_Paeds,9,21)</f>
        <v>0.21</v>
      </c>
      <c r="AA13" s="219">
        <f>INDEX(Q2_Paeds,9,22)</f>
        <v>0.23</v>
      </c>
      <c r="AB13" s="420"/>
    </row>
    <row r="14" spans="1:28" s="8" customFormat="1" ht="21.75" customHeight="1" thickTop="1" thickBot="1" x14ac:dyDescent="0.35">
      <c r="A14" s="420"/>
      <c r="B14" s="450" t="s">
        <v>165</v>
      </c>
      <c r="C14" s="450" t="s">
        <v>23</v>
      </c>
      <c r="D14" s="451">
        <v>3</v>
      </c>
      <c r="E14" s="450" t="s">
        <v>22</v>
      </c>
      <c r="F14" s="213">
        <f>INDEX(Q2_Paeds,10,7)</f>
        <v>4</v>
      </c>
      <c r="G14" s="220">
        <f>INDEX(Q2_Paeds,10,8)</f>
        <v>52</v>
      </c>
      <c r="H14" s="210">
        <f>INDEX(Q2_Paeds,10,9)</f>
        <v>0</v>
      </c>
      <c r="I14" s="200">
        <f t="shared" si="0"/>
        <v>0</v>
      </c>
      <c r="J14" s="201">
        <f>INDEX(Q2_Paeds,10,10)</f>
        <v>0</v>
      </c>
      <c r="K14" s="200">
        <f t="shared" si="1"/>
        <v>0</v>
      </c>
      <c r="L14" s="201">
        <f>INDEX(Q2_Paeds,10,11)</f>
        <v>0</v>
      </c>
      <c r="M14" s="200">
        <f t="shared" si="2"/>
        <v>0</v>
      </c>
      <c r="N14" s="201">
        <f>INDEX(Q2_Paeds,10,12)</f>
        <v>0</v>
      </c>
      <c r="O14" s="200">
        <f t="shared" si="3"/>
        <v>0</v>
      </c>
      <c r="P14" s="202">
        <f>INDEX(Q2_Paeds,10,13)</f>
        <v>0</v>
      </c>
      <c r="Q14" s="199">
        <f>INDEX(Q2_Paeds,10,15)</f>
        <v>19</v>
      </c>
      <c r="R14" s="200">
        <f t="shared" si="4"/>
        <v>0.30645161290322581</v>
      </c>
      <c r="S14" s="201">
        <f>INDEX(Q2_Paeds,10,16)</f>
        <v>13</v>
      </c>
      <c r="T14" s="200">
        <f t="shared" si="5"/>
        <v>0.20967741935483872</v>
      </c>
      <c r="U14" s="423">
        <f>INDEX(Q2_Paeds,10,17)</f>
        <v>30</v>
      </c>
      <c r="V14" s="200">
        <f t="shared" si="6"/>
        <v>0.4838709677419355</v>
      </c>
      <c r="W14" s="201">
        <f>INDEX(Q2_Paeds,10,18)</f>
        <v>0</v>
      </c>
      <c r="X14" s="200">
        <f t="shared" si="7"/>
        <v>0</v>
      </c>
      <c r="Y14" s="202">
        <f>INDEX(Q2_Paeds,10,19)</f>
        <v>62</v>
      </c>
      <c r="Z14" s="214">
        <f>INDEX(Q2_Paeds,10,21)</f>
        <v>0</v>
      </c>
      <c r="AA14" s="215">
        <f>INDEX(Q2_Paeds,10,22)</f>
        <v>0</v>
      </c>
      <c r="AB14" s="420"/>
    </row>
    <row r="15" spans="1:28" s="8" customFormat="1" ht="21.75" customHeight="1" thickTop="1" thickBot="1" x14ac:dyDescent="0.35">
      <c r="A15" s="420"/>
      <c r="B15" s="452" t="s">
        <v>166</v>
      </c>
      <c r="C15" s="452" t="s">
        <v>23</v>
      </c>
      <c r="D15" s="453">
        <v>3</v>
      </c>
      <c r="E15" s="452" t="s">
        <v>22</v>
      </c>
      <c r="F15" s="216">
        <f>INDEX(Q2_Paeds,11,7)</f>
        <v>10</v>
      </c>
      <c r="G15" s="217">
        <f>INDEX(Q2_Paeds,11,8)</f>
        <v>20</v>
      </c>
      <c r="H15" s="204">
        <f>INDEX(Q2_Paeds,11,9)</f>
        <v>9</v>
      </c>
      <c r="I15" s="205">
        <f t="shared" si="0"/>
        <v>0.9</v>
      </c>
      <c r="J15" s="206">
        <f>INDEX(Q2_Paeds,11,10)</f>
        <v>1</v>
      </c>
      <c r="K15" s="205">
        <f t="shared" si="1"/>
        <v>0.1</v>
      </c>
      <c r="L15" s="206">
        <f>INDEX(Q2_Paeds,11,11)</f>
        <v>0</v>
      </c>
      <c r="M15" s="205">
        <f t="shared" si="2"/>
        <v>0</v>
      </c>
      <c r="N15" s="206">
        <f>INDEX(Q2_Paeds,11,12)</f>
        <v>0</v>
      </c>
      <c r="O15" s="205">
        <f t="shared" si="3"/>
        <v>0</v>
      </c>
      <c r="P15" s="207">
        <f>INDEX(Q2_Paeds,11,13)</f>
        <v>10</v>
      </c>
      <c r="Q15" s="208">
        <f>INDEX(Q2_Paeds,11,15)</f>
        <v>26</v>
      </c>
      <c r="R15" s="205">
        <f t="shared" si="4"/>
        <v>0.52</v>
      </c>
      <c r="S15" s="206">
        <f>INDEX(Q2_Paeds,11,16)</f>
        <v>18</v>
      </c>
      <c r="T15" s="205">
        <f t="shared" si="5"/>
        <v>0.36</v>
      </c>
      <c r="U15" s="426">
        <f>INDEX(Q2_Paeds,11,17)</f>
        <v>6</v>
      </c>
      <c r="V15" s="205">
        <f t="shared" si="6"/>
        <v>0.12</v>
      </c>
      <c r="W15" s="206">
        <f>INDEX(Q2_Paeds,11,18)</f>
        <v>0</v>
      </c>
      <c r="X15" s="205">
        <f t="shared" si="7"/>
        <v>0</v>
      </c>
      <c r="Y15" s="207">
        <f>INDEX(Q2_Paeds,11,19)</f>
        <v>50</v>
      </c>
      <c r="Z15" s="218">
        <f>INDEX(Q2_Paeds,11,21)</f>
        <v>0</v>
      </c>
      <c r="AA15" s="219">
        <f>INDEX(Q2_Paeds,11,22)</f>
        <v>0</v>
      </c>
      <c r="AB15" s="420"/>
    </row>
    <row r="16" spans="1:28" s="8" customFormat="1" ht="21.75" customHeight="1" thickTop="1" thickBot="1" x14ac:dyDescent="0.35">
      <c r="A16" s="420"/>
      <c r="B16" s="456" t="s">
        <v>162</v>
      </c>
      <c r="C16" s="456" t="s">
        <v>23</v>
      </c>
      <c r="D16" s="457">
        <v>3</v>
      </c>
      <c r="E16" s="456" t="s">
        <v>22</v>
      </c>
      <c r="F16" s="213">
        <f>INDEX(Q2_Paeds,12,7)</f>
        <v>6.33</v>
      </c>
      <c r="G16" s="220">
        <f>INDEX(Q2_Paeds,12,8)</f>
        <v>9.2899999999999991</v>
      </c>
      <c r="H16" s="210">
        <f>INDEX(Q2_Paeds,12,9)</f>
        <v>24</v>
      </c>
      <c r="I16" s="200">
        <f t="shared" si="0"/>
        <v>0.64864864864864868</v>
      </c>
      <c r="J16" s="201">
        <f>INDEX(Q2_Paeds,12,10)</f>
        <v>10</v>
      </c>
      <c r="K16" s="200">
        <f t="shared" si="1"/>
        <v>0.27027027027027029</v>
      </c>
      <c r="L16" s="201">
        <f>INDEX(Q2_Paeds,12,11)</f>
        <v>2</v>
      </c>
      <c r="M16" s="200">
        <f t="shared" si="2"/>
        <v>5.4054054054054057E-2</v>
      </c>
      <c r="N16" s="201">
        <f>INDEX(Q2_Paeds,12,12)</f>
        <v>1</v>
      </c>
      <c r="O16" s="200">
        <f t="shared" si="3"/>
        <v>2.7027027027027029E-2</v>
      </c>
      <c r="P16" s="202">
        <f>INDEX(Q2_Paeds,12,13)</f>
        <v>37</v>
      </c>
      <c r="Q16" s="199">
        <f>INDEX(Q2_Paeds,12,15)</f>
        <v>26</v>
      </c>
      <c r="R16" s="200">
        <f t="shared" si="4"/>
        <v>0.23008849557522124</v>
      </c>
      <c r="S16" s="201">
        <f>INDEX(Q2_Paeds,12,16)</f>
        <v>39</v>
      </c>
      <c r="T16" s="200">
        <f t="shared" si="5"/>
        <v>0.34513274336283184</v>
      </c>
      <c r="U16" s="423">
        <f>INDEX(Q2_Paeds,12,17)</f>
        <v>48</v>
      </c>
      <c r="V16" s="200">
        <f t="shared" si="6"/>
        <v>0.4247787610619469</v>
      </c>
      <c r="W16" s="201">
        <f>INDEX(Q2_Paeds,12,18)</f>
        <v>0</v>
      </c>
      <c r="X16" s="200">
        <f t="shared" si="7"/>
        <v>0</v>
      </c>
      <c r="Y16" s="202">
        <f>INDEX(Q2_Paeds,12,19)</f>
        <v>113</v>
      </c>
      <c r="Z16" s="214">
        <f>INDEX(Q2_Paeds,12,21)</f>
        <v>0.06</v>
      </c>
      <c r="AA16" s="215">
        <f>INDEX(Q2_Paeds,12,22)</f>
        <v>0</v>
      </c>
      <c r="AB16" s="420"/>
    </row>
    <row r="17" spans="1:28" s="8" customFormat="1" ht="21.75" customHeight="1" thickTop="1" thickBot="1" x14ac:dyDescent="0.35">
      <c r="A17" s="420"/>
      <c r="B17" s="452" t="s">
        <v>58</v>
      </c>
      <c r="C17" s="452" t="s">
        <v>23</v>
      </c>
      <c r="D17" s="453">
        <v>3</v>
      </c>
      <c r="E17" s="452" t="s">
        <v>21</v>
      </c>
      <c r="F17" s="216" t="str">
        <f>INDEX(Q2_Paeds,13,7)</f>
        <v>No data</v>
      </c>
      <c r="G17" s="217" t="str">
        <f>INDEX(Q2_Paeds,13,8)</f>
        <v>No data</v>
      </c>
      <c r="H17" s="204" t="str">
        <f>INDEX(Q2_Paeds,13,9)</f>
        <v>No data</v>
      </c>
      <c r="I17" s="205">
        <f t="shared" si="0"/>
        <v>0</v>
      </c>
      <c r="J17" s="206" t="str">
        <f>INDEX(Q2_Paeds,13,10)</f>
        <v>No data</v>
      </c>
      <c r="K17" s="205">
        <f t="shared" si="1"/>
        <v>0</v>
      </c>
      <c r="L17" s="206" t="str">
        <f>INDEX(Q2_Paeds,13,11)</f>
        <v>No data</v>
      </c>
      <c r="M17" s="205">
        <f t="shared" si="2"/>
        <v>0</v>
      </c>
      <c r="N17" s="206" t="str">
        <f>INDEX(Q2_Paeds,13,12)</f>
        <v>No data</v>
      </c>
      <c r="O17" s="205">
        <f t="shared" si="3"/>
        <v>0</v>
      </c>
      <c r="P17" s="207" t="str">
        <f>INDEX(Q2_Paeds,13,13)</f>
        <v>No data</v>
      </c>
      <c r="Q17" s="208" t="str">
        <f>INDEX(Q2_Paeds,13,15)</f>
        <v>No data</v>
      </c>
      <c r="R17" s="205">
        <f t="shared" si="4"/>
        <v>0</v>
      </c>
      <c r="S17" s="206" t="str">
        <f>INDEX(Q2_Paeds,13,16)</f>
        <v>No data</v>
      </c>
      <c r="T17" s="205">
        <f t="shared" si="5"/>
        <v>0</v>
      </c>
      <c r="U17" s="426" t="str">
        <f>INDEX(Q2_Paeds,13,17)</f>
        <v>No data</v>
      </c>
      <c r="V17" s="205">
        <f t="shared" si="6"/>
        <v>0</v>
      </c>
      <c r="W17" s="206" t="str">
        <f>INDEX(Q2_Paeds,13,18)</f>
        <v>No data</v>
      </c>
      <c r="X17" s="205">
        <f t="shared" si="7"/>
        <v>0</v>
      </c>
      <c r="Y17" s="207" t="str">
        <f>INDEX(Q2_Paeds,13,19)</f>
        <v>No data</v>
      </c>
      <c r="Z17" s="218" t="str">
        <f>INDEX(Q2_Paeds,13,21)</f>
        <v>No data</v>
      </c>
      <c r="AA17" s="219" t="str">
        <f>INDEX(Q2_Paeds,13,22)</f>
        <v>No data</v>
      </c>
      <c r="AB17" s="420"/>
    </row>
    <row r="18" spans="1:28" s="8" customFormat="1" ht="21.75" customHeight="1" thickTop="1" thickBot="1" x14ac:dyDescent="0.35">
      <c r="A18" s="420"/>
      <c r="B18" s="450" t="s">
        <v>59</v>
      </c>
      <c r="C18" s="450" t="s">
        <v>23</v>
      </c>
      <c r="D18" s="451">
        <v>3</v>
      </c>
      <c r="E18" s="450" t="s">
        <v>21</v>
      </c>
      <c r="F18" s="213">
        <f>INDEX(Q2_Paeds,14,7)</f>
        <v>39</v>
      </c>
      <c r="G18" s="220">
        <f>INDEX(Q2_Paeds,14,8)</f>
        <v>6</v>
      </c>
      <c r="H18" s="210">
        <f>INDEX(Q2_Paeds,14,9)</f>
        <v>0</v>
      </c>
      <c r="I18" s="200">
        <f t="shared" si="0"/>
        <v>0</v>
      </c>
      <c r="J18" s="201">
        <f>INDEX(Q2_Paeds,14,10)</f>
        <v>0</v>
      </c>
      <c r="K18" s="200">
        <f t="shared" si="1"/>
        <v>0</v>
      </c>
      <c r="L18" s="201">
        <f>INDEX(Q2_Paeds,14,11)</f>
        <v>1</v>
      </c>
      <c r="M18" s="200">
        <f t="shared" si="2"/>
        <v>1</v>
      </c>
      <c r="N18" s="201">
        <f>INDEX(Q2_Paeds,14,12)</f>
        <v>0</v>
      </c>
      <c r="O18" s="200">
        <f t="shared" si="3"/>
        <v>0</v>
      </c>
      <c r="P18" s="202">
        <f>INDEX(Q2_Paeds,14,13)</f>
        <v>1</v>
      </c>
      <c r="Q18" s="199">
        <f>INDEX(Q2_Paeds,14,15)</f>
        <v>0</v>
      </c>
      <c r="R18" s="200">
        <f t="shared" si="4"/>
        <v>0</v>
      </c>
      <c r="S18" s="201">
        <f>INDEX(Q2_Paeds,14,16)</f>
        <v>0</v>
      </c>
      <c r="T18" s="200">
        <f t="shared" si="5"/>
        <v>0</v>
      </c>
      <c r="U18" s="423">
        <f>INDEX(Q2_Paeds,14,17)</f>
        <v>0</v>
      </c>
      <c r="V18" s="200">
        <f t="shared" si="6"/>
        <v>0</v>
      </c>
      <c r="W18" s="201">
        <f>INDEX(Q2_Paeds,14,18)</f>
        <v>0</v>
      </c>
      <c r="X18" s="200">
        <f t="shared" si="7"/>
        <v>0</v>
      </c>
      <c r="Y18" s="202">
        <f>INDEX(Q2_Paeds,14,19)</f>
        <v>0</v>
      </c>
      <c r="Z18" s="214">
        <f>INDEX(Q2_Paeds,14,21)</f>
        <v>0.05</v>
      </c>
      <c r="AA18" s="215">
        <f>INDEX(Q2_Paeds,14,22)</f>
        <v>0.05</v>
      </c>
      <c r="AB18" s="420"/>
    </row>
    <row r="19" spans="1:28" s="8" customFormat="1" ht="21.75" customHeight="1" thickTop="1" thickBot="1" x14ac:dyDescent="0.35">
      <c r="A19" s="420"/>
      <c r="B19" s="452" t="s">
        <v>60</v>
      </c>
      <c r="C19" s="452" t="s">
        <v>23</v>
      </c>
      <c r="D19" s="453">
        <v>3</v>
      </c>
      <c r="E19" s="452" t="s">
        <v>21</v>
      </c>
      <c r="F19" s="216">
        <f>INDEX(Q2_Paeds,16,7)</f>
        <v>19</v>
      </c>
      <c r="G19" s="217">
        <f>INDEX(Q2_Paeds,16,8)</f>
        <v>15</v>
      </c>
      <c r="H19" s="204">
        <f>INDEX(Q2_Paeds,16,9)</f>
        <v>55</v>
      </c>
      <c r="I19" s="205">
        <f t="shared" si="0"/>
        <v>0.33950617283950618</v>
      </c>
      <c r="J19" s="206">
        <f>INDEX(Q2_Paeds,16,10)</f>
        <v>37</v>
      </c>
      <c r="K19" s="205">
        <f t="shared" si="1"/>
        <v>0.22839506172839505</v>
      </c>
      <c r="L19" s="206">
        <f>INDEX(Q2_Paeds,16,11)</f>
        <v>64</v>
      </c>
      <c r="M19" s="205">
        <f t="shared" si="2"/>
        <v>0.39506172839506171</v>
      </c>
      <c r="N19" s="206">
        <f>INDEX(Q2_Paeds,16,12)</f>
        <v>6</v>
      </c>
      <c r="O19" s="205">
        <f t="shared" si="3"/>
        <v>3.7037037037037035E-2</v>
      </c>
      <c r="P19" s="207">
        <f>INDEX(Q2_Paeds,16,13)</f>
        <v>162</v>
      </c>
      <c r="Q19" s="208">
        <f>INDEX(Q2_Paeds,16,15)</f>
        <v>29</v>
      </c>
      <c r="R19" s="205">
        <f t="shared" si="4"/>
        <v>0.23966942148760331</v>
      </c>
      <c r="S19" s="206">
        <f>INDEX(Q2_Paeds,16,16)</f>
        <v>26</v>
      </c>
      <c r="T19" s="205">
        <f t="shared" si="5"/>
        <v>0.21487603305785125</v>
      </c>
      <c r="U19" s="426">
        <f>INDEX(Q2_Paeds,16,17)</f>
        <v>48</v>
      </c>
      <c r="V19" s="205">
        <f t="shared" si="6"/>
        <v>0.39669421487603307</v>
      </c>
      <c r="W19" s="206">
        <f>INDEX(Q2_Paeds,16,18)</f>
        <v>18</v>
      </c>
      <c r="X19" s="205">
        <f t="shared" si="7"/>
        <v>0.1487603305785124</v>
      </c>
      <c r="Y19" s="207">
        <f>INDEX(Q2_Paeds,16,19)</f>
        <v>121</v>
      </c>
      <c r="Z19" s="218">
        <f>INDEX(Q2_Paeds,16,21)</f>
        <v>0.08</v>
      </c>
      <c r="AA19" s="219">
        <f>INDEX(Q2_Paeds,16,22)</f>
        <v>0.05</v>
      </c>
      <c r="AB19" s="420"/>
    </row>
    <row r="20" spans="1:28" s="8" customFormat="1" ht="21.75" customHeight="1" thickTop="1" thickBot="1" x14ac:dyDescent="0.35">
      <c r="A20" s="420"/>
      <c r="B20" s="450" t="s">
        <v>56</v>
      </c>
      <c r="C20" s="450" t="s">
        <v>23</v>
      </c>
      <c r="D20" s="451">
        <v>3</v>
      </c>
      <c r="E20" s="450" t="s">
        <v>21</v>
      </c>
      <c r="F20" s="213" t="str">
        <f>INDEX(Q2_Paeds,17,7)</f>
        <v>No data</v>
      </c>
      <c r="G20" s="220" t="str">
        <f>INDEX(Q2_Paeds,17,8)</f>
        <v>No data</v>
      </c>
      <c r="H20" s="210" t="str">
        <f>INDEX(Q2_Paeds,17,9)</f>
        <v>No data</v>
      </c>
      <c r="I20" s="200">
        <f t="shared" si="0"/>
        <v>0</v>
      </c>
      <c r="J20" s="201" t="str">
        <f>INDEX(Q2_Paeds,17,10)</f>
        <v>No data</v>
      </c>
      <c r="K20" s="200">
        <f t="shared" si="1"/>
        <v>0</v>
      </c>
      <c r="L20" s="201" t="str">
        <f>INDEX(Q2_Paeds,17,11)</f>
        <v>No data</v>
      </c>
      <c r="M20" s="200">
        <f t="shared" si="2"/>
        <v>0</v>
      </c>
      <c r="N20" s="201" t="str">
        <f>INDEX(Q2_Paeds,17,12)</f>
        <v>No data</v>
      </c>
      <c r="O20" s="200">
        <f t="shared" si="3"/>
        <v>0</v>
      </c>
      <c r="P20" s="202" t="str">
        <f>INDEX(Q2_Paeds,17,13)</f>
        <v>No data</v>
      </c>
      <c r="Q20" s="199" t="str">
        <f>INDEX(Q2_Paeds,17,15)</f>
        <v>No data</v>
      </c>
      <c r="R20" s="200">
        <f t="shared" si="4"/>
        <v>0</v>
      </c>
      <c r="S20" s="201" t="str">
        <f>INDEX(Q2_Paeds,17,16)</f>
        <v>No data</v>
      </c>
      <c r="T20" s="200">
        <f t="shared" si="5"/>
        <v>0</v>
      </c>
      <c r="U20" s="423" t="str">
        <f>INDEX(Q2_Paeds,17,17)</f>
        <v>No data</v>
      </c>
      <c r="V20" s="200">
        <f t="shared" si="6"/>
        <v>0</v>
      </c>
      <c r="W20" s="201" t="str">
        <f>INDEX(Q2_Paeds,17,18)</f>
        <v>No data</v>
      </c>
      <c r="X20" s="200">
        <f t="shared" si="7"/>
        <v>0</v>
      </c>
      <c r="Y20" s="202" t="str">
        <f>INDEX(Q2_Paeds,17,19)</f>
        <v>No data</v>
      </c>
      <c r="Z20" s="214" t="str">
        <f>INDEX(Q2_Paeds,17,21)</f>
        <v>No data</v>
      </c>
      <c r="AA20" s="215" t="str">
        <f>INDEX(Q2_Paeds,17,22)</f>
        <v>No data</v>
      </c>
      <c r="AB20" s="420"/>
    </row>
    <row r="21" spans="1:28" s="8" customFormat="1" ht="21.75" customHeight="1" thickTop="1" thickBot="1" x14ac:dyDescent="0.35">
      <c r="A21" s="420"/>
      <c r="B21" s="452" t="s">
        <v>61</v>
      </c>
      <c r="C21" s="452" t="s">
        <v>23</v>
      </c>
      <c r="D21" s="453">
        <v>3</v>
      </c>
      <c r="E21" s="452" t="s">
        <v>21</v>
      </c>
      <c r="F21" s="216" t="str">
        <f>INDEX(Q2_Paeds,18,7)</f>
        <v>No data</v>
      </c>
      <c r="G21" s="217" t="str">
        <f>INDEX(Q2_Paeds,18,8)</f>
        <v>No data</v>
      </c>
      <c r="H21" s="204" t="str">
        <f>INDEX(Q2_Paeds,18,9)</f>
        <v>No data</v>
      </c>
      <c r="I21" s="205">
        <f t="shared" si="0"/>
        <v>0</v>
      </c>
      <c r="J21" s="206" t="str">
        <f>INDEX(Q2_Paeds,18,10)</f>
        <v>No data</v>
      </c>
      <c r="K21" s="205">
        <f t="shared" si="1"/>
        <v>0</v>
      </c>
      <c r="L21" s="206" t="str">
        <f>INDEX(Q2_Paeds,18,11)</f>
        <v>No data</v>
      </c>
      <c r="M21" s="205">
        <f t="shared" si="2"/>
        <v>0</v>
      </c>
      <c r="N21" s="206" t="str">
        <f>INDEX(Q2_Paeds,18,12)</f>
        <v>No data</v>
      </c>
      <c r="O21" s="205">
        <f t="shared" si="3"/>
        <v>0</v>
      </c>
      <c r="P21" s="207" t="str">
        <f>INDEX(Q2_Paeds,18,13)</f>
        <v>No data</v>
      </c>
      <c r="Q21" s="208" t="str">
        <f>INDEX(Q2_Paeds,18,15)</f>
        <v>No data</v>
      </c>
      <c r="R21" s="205">
        <f t="shared" si="4"/>
        <v>0</v>
      </c>
      <c r="S21" s="206" t="str">
        <f>INDEX(Q2_Paeds,18,16)</f>
        <v>No data</v>
      </c>
      <c r="T21" s="205">
        <f t="shared" si="5"/>
        <v>0</v>
      </c>
      <c r="U21" s="426" t="str">
        <f>INDEX(Q2_Paeds,18,17)</f>
        <v>No data</v>
      </c>
      <c r="V21" s="205">
        <f t="shared" si="6"/>
        <v>0</v>
      </c>
      <c r="W21" s="206" t="str">
        <f>INDEX(Q2_Paeds,18,18)</f>
        <v>No data</v>
      </c>
      <c r="X21" s="205">
        <f t="shared" si="7"/>
        <v>0</v>
      </c>
      <c r="Y21" s="207" t="str">
        <f>INDEX(Q2_Paeds,18,19)</f>
        <v>No data</v>
      </c>
      <c r="Z21" s="218" t="str">
        <f>INDEX(Q2_Paeds,18,21)</f>
        <v>No data</v>
      </c>
      <c r="AA21" s="219" t="str">
        <f>INDEX(Q2_Paeds,18,22)</f>
        <v>No data</v>
      </c>
      <c r="AB21" s="420"/>
    </row>
    <row r="22" spans="1:28" s="8" customFormat="1" ht="21.75" customHeight="1" thickTop="1" thickBot="1" x14ac:dyDescent="0.35">
      <c r="A22" s="420"/>
      <c r="B22" s="456" t="s">
        <v>52</v>
      </c>
      <c r="C22" s="456" t="s">
        <v>23</v>
      </c>
      <c r="D22" s="457">
        <v>3</v>
      </c>
      <c r="E22" s="456" t="s">
        <v>21</v>
      </c>
      <c r="F22" s="213">
        <f>INDEX(Q2_Paeds,19,7)</f>
        <v>0</v>
      </c>
      <c r="G22" s="220">
        <f>INDEX(Q2_Paeds,19,8)</f>
        <v>0</v>
      </c>
      <c r="H22" s="210">
        <f>INDEX(Q2_Paeds,19,9)</f>
        <v>3</v>
      </c>
      <c r="I22" s="200">
        <f t="shared" si="0"/>
        <v>1</v>
      </c>
      <c r="J22" s="201">
        <f>INDEX(Q2_Paeds,19,10)</f>
        <v>0</v>
      </c>
      <c r="K22" s="200">
        <f t="shared" si="1"/>
        <v>0</v>
      </c>
      <c r="L22" s="201">
        <f>INDEX(Q2_Paeds,19,11)</f>
        <v>0</v>
      </c>
      <c r="M22" s="200">
        <f t="shared" si="2"/>
        <v>0</v>
      </c>
      <c r="N22" s="201">
        <f>INDEX(Q2_Paeds,19,12)</f>
        <v>0</v>
      </c>
      <c r="O22" s="200">
        <f t="shared" si="3"/>
        <v>0</v>
      </c>
      <c r="P22" s="202">
        <f>INDEX(Q2_Paeds,19,13)</f>
        <v>3</v>
      </c>
      <c r="Q22" s="199">
        <f>INDEX(Q2_Paeds,19,15)</f>
        <v>31</v>
      </c>
      <c r="R22" s="200">
        <f t="shared" si="4"/>
        <v>0.46268656716417911</v>
      </c>
      <c r="S22" s="201">
        <f>INDEX(Q2_Paeds,19,16)</f>
        <v>36</v>
      </c>
      <c r="T22" s="211">
        <f t="shared" si="5"/>
        <v>0.53731343283582089</v>
      </c>
      <c r="U22" s="423">
        <f>INDEX(Q2_Paeds,19,17)</f>
        <v>0</v>
      </c>
      <c r="V22" s="200">
        <f t="shared" si="6"/>
        <v>0</v>
      </c>
      <c r="W22" s="201">
        <f>INDEX(Q2_Paeds,19,18)</f>
        <v>0</v>
      </c>
      <c r="X22" s="200">
        <f t="shared" si="7"/>
        <v>0</v>
      </c>
      <c r="Y22" s="202">
        <f>INDEX(Q2_Paeds,19,19)</f>
        <v>67</v>
      </c>
      <c r="Z22" s="214">
        <f>INDEX(Q2_Paeds,19,21)</f>
        <v>0</v>
      </c>
      <c r="AA22" s="215">
        <f>INDEX(Q2_Paeds,19,22)</f>
        <v>0</v>
      </c>
      <c r="AB22" s="420"/>
    </row>
    <row r="23" spans="1:28" s="8" customFormat="1" ht="21.75" customHeight="1" thickTop="1" thickBot="1" x14ac:dyDescent="0.35">
      <c r="A23" s="420"/>
      <c r="B23" s="458" t="s">
        <v>57</v>
      </c>
      <c r="C23" s="458" t="s">
        <v>23</v>
      </c>
      <c r="D23" s="459">
        <v>3</v>
      </c>
      <c r="E23" s="458" t="s">
        <v>21</v>
      </c>
      <c r="F23" s="216">
        <f>INDEX(Q2_Paeds,20,7)</f>
        <v>46</v>
      </c>
      <c r="G23" s="217">
        <f>INDEX(Q2_Paeds,20,8)</f>
        <v>46</v>
      </c>
      <c r="H23" s="208">
        <f>INDEX(Q2_Paeds,20,9)</f>
        <v>37</v>
      </c>
      <c r="I23" s="205">
        <f t="shared" si="0"/>
        <v>0.37</v>
      </c>
      <c r="J23" s="206">
        <f>INDEX(Q2_Paeds,20,10)</f>
        <v>63</v>
      </c>
      <c r="K23" s="205">
        <f t="shared" si="1"/>
        <v>0.63</v>
      </c>
      <c r="L23" s="206">
        <f>INDEX(Q2_Paeds,20,11)</f>
        <v>0</v>
      </c>
      <c r="M23" s="205">
        <f t="shared" si="2"/>
        <v>0</v>
      </c>
      <c r="N23" s="206">
        <f>INDEX(Q2_Paeds,20,12)</f>
        <v>0</v>
      </c>
      <c r="O23" s="205">
        <f t="shared" si="3"/>
        <v>0</v>
      </c>
      <c r="P23" s="207">
        <f>INDEX(Q2_Paeds,20,13)</f>
        <v>100</v>
      </c>
      <c r="Q23" s="208">
        <f>INDEX(Q2_Paeds,20,15)</f>
        <v>22</v>
      </c>
      <c r="R23" s="205">
        <f t="shared" si="4"/>
        <v>0.32835820895522388</v>
      </c>
      <c r="S23" s="206">
        <f>INDEX(Q2_Paeds,20,16)</f>
        <v>42</v>
      </c>
      <c r="T23" s="205">
        <f t="shared" si="5"/>
        <v>0.62686567164179108</v>
      </c>
      <c r="U23" s="460">
        <f>INDEX(Q2_Paeds,20,17)</f>
        <v>3</v>
      </c>
      <c r="V23" s="205">
        <f t="shared" si="6"/>
        <v>4.4776119402985072E-2</v>
      </c>
      <c r="W23" s="206">
        <f>INDEX(Q2_Paeds,20,18)</f>
        <v>0</v>
      </c>
      <c r="X23" s="205">
        <f t="shared" si="7"/>
        <v>0</v>
      </c>
      <c r="Y23" s="207">
        <f>INDEX(Q2_Paeds,20,19)</f>
        <v>67</v>
      </c>
      <c r="Z23" s="218">
        <f>INDEX(Q2_Paeds,20,21)</f>
        <v>0.08</v>
      </c>
      <c r="AA23" s="219">
        <f>INDEX(Q2_Paeds,20,22)</f>
        <v>7.0000000000000007E-2</v>
      </c>
      <c r="AB23" s="420"/>
    </row>
    <row r="24" spans="1:28" s="8" customFormat="1" ht="21.75" customHeight="1" thickTop="1" thickBot="1" x14ac:dyDescent="0.35">
      <c r="A24" s="420"/>
      <c r="B24" s="461" t="s">
        <v>54</v>
      </c>
      <c r="C24" s="461" t="s">
        <v>23</v>
      </c>
      <c r="D24" s="462">
        <v>3</v>
      </c>
      <c r="E24" s="461" t="s">
        <v>21</v>
      </c>
      <c r="F24" s="213">
        <f>INDEX(Q2_Paeds,21,7)</f>
        <v>4</v>
      </c>
      <c r="G24" s="220">
        <f>INDEX(Q2_Paeds,21,8)</f>
        <v>4</v>
      </c>
      <c r="H24" s="199">
        <f>INDEX(Q2_Paeds,21,9)</f>
        <v>59</v>
      </c>
      <c r="I24" s="200">
        <f t="shared" si="0"/>
        <v>0.44696969696969696</v>
      </c>
      <c r="J24" s="201">
        <f>INDEX(Q2_Paeds,21,10)</f>
        <v>39</v>
      </c>
      <c r="K24" s="200">
        <f t="shared" si="1"/>
        <v>0.29545454545454547</v>
      </c>
      <c r="L24" s="201">
        <f>INDEX(Q2_Paeds,21,11)</f>
        <v>32</v>
      </c>
      <c r="M24" s="200">
        <f t="shared" si="2"/>
        <v>0.24242424242424243</v>
      </c>
      <c r="N24" s="201">
        <f>INDEX(Q2_Paeds,21,12)</f>
        <v>2</v>
      </c>
      <c r="O24" s="200">
        <f t="shared" si="3"/>
        <v>1.5151515151515152E-2</v>
      </c>
      <c r="P24" s="202">
        <f>INDEX(Q2_Paeds,21,13)</f>
        <v>132</v>
      </c>
      <c r="Q24" s="199">
        <f>INDEX(Q2_Paeds,21,15)</f>
        <v>20</v>
      </c>
      <c r="R24" s="200">
        <f t="shared" si="4"/>
        <v>0.13698630136986301</v>
      </c>
      <c r="S24" s="201">
        <f>INDEX(Q2_Paeds,21,16)</f>
        <v>31</v>
      </c>
      <c r="T24" s="200">
        <f t="shared" si="5"/>
        <v>0.21232876712328766</v>
      </c>
      <c r="U24" s="423">
        <f>INDEX(Q2_Paeds,21,17)</f>
        <v>53</v>
      </c>
      <c r="V24" s="200">
        <f t="shared" si="6"/>
        <v>0.36301369863013699</v>
      </c>
      <c r="W24" s="201">
        <f>INDEX(Q2_Paeds,21,18)</f>
        <v>42</v>
      </c>
      <c r="X24" s="200">
        <f t="shared" si="7"/>
        <v>0.28767123287671231</v>
      </c>
      <c r="Y24" s="202">
        <f>INDEX(Q2_Paeds,21,19)</f>
        <v>146</v>
      </c>
      <c r="Z24" s="214">
        <f>INDEX(Q2_Paeds,21,21)</f>
        <v>0</v>
      </c>
      <c r="AA24" s="215">
        <f>INDEX(Q2_Paeds,21,22)</f>
        <v>0</v>
      </c>
      <c r="AB24" s="420"/>
    </row>
    <row r="25" spans="1:28" s="8" customFormat="1" ht="21.75" customHeight="1" thickTop="1" thickBot="1" x14ac:dyDescent="0.35">
      <c r="A25" s="420"/>
      <c r="B25" s="454" t="s">
        <v>62</v>
      </c>
      <c r="C25" s="454" t="s">
        <v>23</v>
      </c>
      <c r="D25" s="455">
        <v>3</v>
      </c>
      <c r="E25" s="454" t="s">
        <v>21</v>
      </c>
      <c r="F25" s="216">
        <f>INDEX(Q2_Paeds,22,7)</f>
        <v>7</v>
      </c>
      <c r="G25" s="217">
        <f>INDEX(Q2_Paeds,22,8)</f>
        <v>10</v>
      </c>
      <c r="H25" s="208">
        <f>INDEX(Q2_Paeds,22,9)</f>
        <v>2</v>
      </c>
      <c r="I25" s="205">
        <f t="shared" si="0"/>
        <v>1</v>
      </c>
      <c r="J25" s="206">
        <f>INDEX(Q2_Paeds,22,10)</f>
        <v>0</v>
      </c>
      <c r="K25" s="205">
        <f t="shared" si="1"/>
        <v>0</v>
      </c>
      <c r="L25" s="206">
        <f>INDEX(Q2_Paeds,22,11)</f>
        <v>0</v>
      </c>
      <c r="M25" s="205">
        <f t="shared" si="2"/>
        <v>0</v>
      </c>
      <c r="N25" s="206">
        <f>INDEX(Q2_Paeds,22,12)</f>
        <v>0</v>
      </c>
      <c r="O25" s="205">
        <f t="shared" si="3"/>
        <v>0</v>
      </c>
      <c r="P25" s="207">
        <f>INDEX(Q2_Paeds,22,13)</f>
        <v>2</v>
      </c>
      <c r="Q25" s="208">
        <f>INDEX(Q2_Paeds,22,15)</f>
        <v>20</v>
      </c>
      <c r="R25" s="205">
        <f t="shared" si="4"/>
        <v>0.64516129032258063</v>
      </c>
      <c r="S25" s="206">
        <f>INDEX(Q2_Paeds,22,16)</f>
        <v>6</v>
      </c>
      <c r="T25" s="205">
        <f t="shared" si="5"/>
        <v>0.19354838709677419</v>
      </c>
      <c r="U25" s="460">
        <f>INDEX(Q2_Paeds,22,17)</f>
        <v>5</v>
      </c>
      <c r="V25" s="205">
        <f t="shared" si="6"/>
        <v>0.16129032258064516</v>
      </c>
      <c r="W25" s="206">
        <f>INDEX(Q2_Paeds,22,18)</f>
        <v>0</v>
      </c>
      <c r="X25" s="205">
        <f t="shared" si="7"/>
        <v>0</v>
      </c>
      <c r="Y25" s="207">
        <f>INDEX(Q2_Paeds,22,19)</f>
        <v>31</v>
      </c>
      <c r="Z25" s="218">
        <f>INDEX(Q2_Paeds,22,21)</f>
        <v>0.1</v>
      </c>
      <c r="AA25" s="219">
        <f>INDEX(Q2_Paeds,22,22)</f>
        <v>7.0000000000000007E-2</v>
      </c>
      <c r="AB25" s="420"/>
    </row>
    <row r="26" spans="1:28" ht="15" thickTop="1" x14ac:dyDescent="0.3">
      <c r="B26" s="16"/>
      <c r="C26" s="16"/>
      <c r="D26" s="16"/>
      <c r="E26" s="16"/>
      <c r="F26" s="15"/>
      <c r="G26" s="15"/>
      <c r="H26" s="119"/>
      <c r="I26" s="15"/>
      <c r="J26" s="119"/>
      <c r="K26" s="15"/>
      <c r="L26" s="119"/>
      <c r="M26" s="15"/>
      <c r="N26" s="119"/>
      <c r="O26" s="15"/>
      <c r="P26" s="15"/>
      <c r="Q26" s="119"/>
      <c r="R26" s="15"/>
      <c r="S26" s="119"/>
      <c r="T26" s="15"/>
      <c r="U26" s="119"/>
      <c r="V26" s="15"/>
      <c r="W26" s="119"/>
      <c r="X26" s="15"/>
      <c r="Y26" s="15"/>
      <c r="Z26" s="15"/>
      <c r="AA26" s="15"/>
    </row>
    <row r="27" spans="1:28" ht="15" thickBot="1" x14ac:dyDescent="0.35">
      <c r="B27" s="16"/>
      <c r="C27" s="16"/>
      <c r="D27" s="16"/>
      <c r="E27" s="16"/>
      <c r="F27" s="15"/>
      <c r="G27" s="15"/>
      <c r="H27" s="119"/>
      <c r="I27" s="15"/>
      <c r="J27" s="119"/>
      <c r="K27" s="15"/>
      <c r="L27" s="119"/>
      <c r="M27" s="15"/>
      <c r="N27" s="119"/>
      <c r="O27" s="15"/>
      <c r="P27" s="15"/>
      <c r="Q27" s="119"/>
      <c r="R27" s="15"/>
      <c r="S27" s="119"/>
      <c r="T27" s="15"/>
      <c r="U27" s="119"/>
      <c r="V27" s="15"/>
      <c r="W27" s="119"/>
      <c r="X27" s="15"/>
      <c r="Y27" s="15"/>
      <c r="Z27" s="15"/>
      <c r="AA27" s="15"/>
    </row>
    <row r="28" spans="1:28" ht="14.4" x14ac:dyDescent="0.3">
      <c r="B28" s="299" t="s">
        <v>86</v>
      </c>
      <c r="C28" s="428" t="s">
        <v>87</v>
      </c>
      <c r="D28" s="429"/>
      <c r="E28" s="430"/>
      <c r="F28" s="309" t="s">
        <v>78</v>
      </c>
      <c r="G28" s="310"/>
      <c r="H28" s="311"/>
      <c r="I28" s="312"/>
      <c r="J28" s="315" t="s">
        <v>84</v>
      </c>
      <c r="K28" s="316"/>
      <c r="L28" s="319" t="s">
        <v>84</v>
      </c>
      <c r="M28" s="320"/>
      <c r="N28" s="323" t="s">
        <v>84</v>
      </c>
      <c r="O28" s="324"/>
      <c r="P28" s="277"/>
      <c r="Q28" s="311"/>
      <c r="R28" s="312"/>
      <c r="S28" s="315" t="s">
        <v>84</v>
      </c>
      <c r="T28" s="316"/>
      <c r="U28" s="319" t="s">
        <v>84</v>
      </c>
      <c r="V28" s="320"/>
      <c r="W28" s="323" t="s">
        <v>84</v>
      </c>
      <c r="X28" s="324"/>
      <c r="Y28" s="128"/>
      <c r="Z28" s="335" t="s">
        <v>81</v>
      </c>
      <c r="AA28" s="310"/>
    </row>
    <row r="29" spans="1:28" ht="14.4" x14ac:dyDescent="0.3">
      <c r="B29" s="299"/>
      <c r="C29" s="431"/>
      <c r="D29" s="432"/>
      <c r="E29" s="433"/>
      <c r="F29" s="434" t="s">
        <v>79</v>
      </c>
      <c r="G29" s="435"/>
      <c r="H29" s="313"/>
      <c r="I29" s="314"/>
      <c r="J29" s="317"/>
      <c r="K29" s="318"/>
      <c r="L29" s="321"/>
      <c r="M29" s="322"/>
      <c r="N29" s="325"/>
      <c r="O29" s="326"/>
      <c r="P29" s="278"/>
      <c r="Q29" s="313"/>
      <c r="R29" s="314"/>
      <c r="S29" s="317"/>
      <c r="T29" s="318"/>
      <c r="U29" s="321"/>
      <c r="V29" s="322"/>
      <c r="W29" s="325"/>
      <c r="X29" s="326"/>
      <c r="Y29" s="129"/>
      <c r="Z29" s="436" t="s">
        <v>82</v>
      </c>
      <c r="AA29" s="435"/>
    </row>
    <row r="30" spans="1:28" ht="15" thickBot="1" x14ac:dyDescent="0.35">
      <c r="B30" s="299"/>
      <c r="C30" s="437"/>
      <c r="D30" s="438"/>
      <c r="E30" s="439"/>
      <c r="F30" s="440" t="s">
        <v>80</v>
      </c>
      <c r="G30" s="441"/>
      <c r="H30" s="442"/>
      <c r="I30" s="443"/>
      <c r="J30" s="444" t="s">
        <v>85</v>
      </c>
      <c r="K30" s="443"/>
      <c r="L30" s="444" t="s">
        <v>85</v>
      </c>
      <c r="M30" s="443"/>
      <c r="N30" s="444" t="s">
        <v>85</v>
      </c>
      <c r="O30" s="443"/>
      <c r="P30" s="445"/>
      <c r="Q30" s="442"/>
      <c r="R30" s="443"/>
      <c r="S30" s="444" t="s">
        <v>85</v>
      </c>
      <c r="T30" s="443"/>
      <c r="U30" s="444" t="s">
        <v>85</v>
      </c>
      <c r="V30" s="443"/>
      <c r="W30" s="444" t="s">
        <v>85</v>
      </c>
      <c r="X30" s="443"/>
      <c r="Y30" s="446"/>
      <c r="Z30" s="447" t="s">
        <v>83</v>
      </c>
      <c r="AA30" s="441"/>
    </row>
    <row r="31" spans="1:28" ht="14.4" x14ac:dyDescent="0.3">
      <c r="B31" s="17"/>
      <c r="C31" s="17"/>
      <c r="D31" s="17"/>
      <c r="E31" s="17"/>
      <c r="F31" s="18"/>
      <c r="G31" s="18"/>
      <c r="H31" s="120"/>
      <c r="I31" s="18"/>
      <c r="J31" s="120"/>
      <c r="K31" s="18"/>
      <c r="L31" s="120"/>
      <c r="M31" s="18"/>
      <c r="N31" s="120"/>
      <c r="O31" s="18"/>
      <c r="P31" s="18"/>
      <c r="Q31" s="120"/>
      <c r="R31" s="18"/>
      <c r="S31" s="120"/>
      <c r="T31" s="18"/>
      <c r="U31" s="120"/>
      <c r="V31" s="18"/>
      <c r="W31" s="120"/>
      <c r="X31" s="18"/>
      <c r="Y31" s="18"/>
      <c r="Z31" s="18"/>
      <c r="AA31" s="19"/>
    </row>
    <row r="32" spans="1:28" ht="14.4" x14ac:dyDescent="0.3">
      <c r="B32" s="15"/>
      <c r="C32" s="15"/>
      <c r="D32" s="15"/>
      <c r="E32" s="15"/>
      <c r="F32" s="20">
        <v>10</v>
      </c>
      <c r="G32" s="20">
        <v>10</v>
      </c>
      <c r="H32" s="121">
        <v>10</v>
      </c>
      <c r="I32" s="20"/>
      <c r="J32" s="121">
        <v>10</v>
      </c>
      <c r="K32" s="20">
        <v>10</v>
      </c>
      <c r="L32" s="121">
        <v>10</v>
      </c>
      <c r="M32" s="20"/>
      <c r="N32" s="121"/>
      <c r="O32" s="20"/>
      <c r="P32" s="20"/>
      <c r="Q32" s="121"/>
      <c r="R32" s="20"/>
      <c r="S32" s="121"/>
      <c r="T32" s="20"/>
      <c r="U32" s="121"/>
      <c r="V32" s="20"/>
      <c r="W32" s="121"/>
      <c r="X32" s="20"/>
      <c r="Y32" s="20"/>
      <c r="Z32" s="20"/>
      <c r="AA32" s="15"/>
    </row>
    <row r="33" spans="2:27" ht="14.4" x14ac:dyDescent="0.3">
      <c r="B33" s="16" t="s">
        <v>15</v>
      </c>
      <c r="C33" s="16"/>
      <c r="D33" s="16"/>
      <c r="E33" s="16"/>
      <c r="F33" s="21"/>
      <c r="G33" s="15"/>
      <c r="H33" s="119"/>
      <c r="I33" s="15"/>
      <c r="J33" s="119"/>
      <c r="K33" s="15"/>
      <c r="L33" s="119"/>
      <c r="M33" s="15"/>
      <c r="N33" s="119"/>
      <c r="O33" s="15"/>
      <c r="P33" s="15"/>
      <c r="Q33" s="119"/>
      <c r="R33" s="15"/>
      <c r="S33" s="119"/>
      <c r="T33" s="15"/>
      <c r="U33" s="119"/>
      <c r="V33" s="15"/>
      <c r="W33" s="119"/>
      <c r="X33" s="15"/>
      <c r="Y33" s="15"/>
      <c r="Z33" s="15"/>
      <c r="AA33" s="15"/>
    </row>
    <row r="34" spans="2:27" ht="14.4" x14ac:dyDescent="0.3">
      <c r="B34" s="22" t="s">
        <v>16</v>
      </c>
      <c r="C34" s="22"/>
      <c r="D34" s="22"/>
      <c r="E34" s="22"/>
      <c r="F34" s="15"/>
      <c r="G34" s="15"/>
      <c r="H34" s="119"/>
      <c r="I34" s="15"/>
      <c r="J34" s="119"/>
      <c r="K34" s="15"/>
      <c r="L34" s="119"/>
      <c r="M34" s="15"/>
      <c r="N34" s="119"/>
      <c r="O34" s="15"/>
      <c r="P34" s="15"/>
      <c r="Q34" s="119"/>
      <c r="R34" s="15"/>
      <c r="S34" s="119"/>
      <c r="T34" s="15"/>
      <c r="U34" s="119"/>
      <c r="V34" s="15"/>
      <c r="W34" s="119"/>
      <c r="X34" s="15"/>
      <c r="Y34" s="15"/>
      <c r="Z34" s="15"/>
      <c r="AA34" s="15"/>
    </row>
    <row r="35" spans="2:27" ht="14.4" x14ac:dyDescent="0.3">
      <c r="B35" s="23"/>
      <c r="C35" s="23"/>
      <c r="D35" s="23"/>
      <c r="E35" s="23"/>
      <c r="F35" s="15"/>
      <c r="G35" s="15"/>
      <c r="H35" s="119"/>
      <c r="I35" s="15"/>
      <c r="J35" s="119"/>
      <c r="K35" s="15"/>
      <c r="L35" s="119"/>
      <c r="M35" s="15"/>
      <c r="N35" s="119"/>
      <c r="O35" s="15"/>
      <c r="P35" s="15"/>
      <c r="Q35" s="119"/>
      <c r="R35" s="15"/>
      <c r="S35" s="119"/>
      <c r="T35" s="15"/>
      <c r="U35" s="119"/>
      <c r="V35" s="15"/>
      <c r="W35" s="119"/>
      <c r="X35" s="15"/>
      <c r="Y35" s="15"/>
      <c r="Z35" s="15"/>
      <c r="AA35" s="15"/>
    </row>
    <row r="36" spans="2:27" ht="14.4" x14ac:dyDescent="0.3"/>
    <row r="37" spans="2:27" ht="14.4" x14ac:dyDescent="0.3"/>
    <row r="38" spans="2:27" ht="14.4" hidden="1" x14ac:dyDescent="0.3"/>
    <row r="39" spans="2:27" ht="14.4" hidden="1" x14ac:dyDescent="0.3"/>
    <row r="40" spans="2:27" ht="14.4" hidden="1" x14ac:dyDescent="0.3"/>
    <row r="41" spans="2:27" ht="14.4" hidden="1" x14ac:dyDescent="0.3"/>
    <row r="42" spans="2:27" ht="14.4" hidden="1" x14ac:dyDescent="0.3"/>
    <row r="43" spans="2:27" ht="14.4" hidden="1" x14ac:dyDescent="0.3"/>
    <row r="44" spans="2:27" ht="14.4" hidden="1" x14ac:dyDescent="0.3"/>
    <row r="45" spans="2:27" ht="14.4" hidden="1" x14ac:dyDescent="0.3"/>
    <row r="46" spans="2:27" ht="14.4" hidden="1" x14ac:dyDescent="0.3"/>
    <row r="47" spans="2:27" ht="14.4" hidden="1" x14ac:dyDescent="0.3"/>
    <row r="48" spans="2:27" ht="14.4" hidden="1" x14ac:dyDescent="0.3"/>
    <row r="49" ht="14.4" hidden="1" x14ac:dyDescent="0.3"/>
    <row r="50" ht="14.4" hidden="1" x14ac:dyDescent="0.3"/>
    <row r="51" ht="14.4" hidden="1" x14ac:dyDescent="0.3"/>
    <row r="52" ht="14.4" hidden="1" x14ac:dyDescent="0.3"/>
    <row r="53" ht="14.4" hidden="1" x14ac:dyDescent="0.3"/>
    <row r="54" ht="14.4" hidden="1" x14ac:dyDescent="0.3"/>
    <row r="55" ht="14.4" hidden="1" x14ac:dyDescent="0.3"/>
    <row r="56" ht="14.4" hidden="1" x14ac:dyDescent="0.3"/>
    <row r="57" ht="14.4" hidden="1" x14ac:dyDescent="0.3"/>
    <row r="58" ht="14.4" hidden="1" x14ac:dyDescent="0.3"/>
    <row r="59" ht="14.4" hidden="1" x14ac:dyDescent="0.3"/>
    <row r="60" ht="14.4" hidden="1" x14ac:dyDescent="0.3"/>
    <row r="61" ht="14.4" hidden="1" x14ac:dyDescent="0.3"/>
    <row r="62" ht="14.4" hidden="1" x14ac:dyDescent="0.3"/>
  </sheetData>
  <sheetProtection algorithmName="SHA-512" hashValue="0702WBmoXCYexaIPGfNh4IHr7gZ36mkKkPnBZ7auye9pAbTPjP2ohHMQXYEIbh7hsELa8/mVyjNM/FBKZ3PkLw==" saltValue="sPpRmCJ3epQsNfqFHUrOaA==" spinCount="100000" sheet="1" objects="1" scenarios="1" selectLockedCells="1"/>
  <mergeCells count="45">
    <mergeCell ref="Z5:AA5"/>
    <mergeCell ref="F6:F7"/>
    <mergeCell ref="G6:G7"/>
    <mergeCell ref="H6:P6"/>
    <mergeCell ref="Q6:Y6"/>
    <mergeCell ref="Z6:Z7"/>
    <mergeCell ref="AA6:AA7"/>
    <mergeCell ref="H7:I7"/>
    <mergeCell ref="J7:K7"/>
    <mergeCell ref="L7:M7"/>
    <mergeCell ref="F5:G5"/>
    <mergeCell ref="H5:Y5"/>
    <mergeCell ref="N7:O7"/>
    <mergeCell ref="Q7:R7"/>
    <mergeCell ref="S7:T7"/>
    <mergeCell ref="U7:V7"/>
    <mergeCell ref="W7:X7"/>
    <mergeCell ref="B28:B30"/>
    <mergeCell ref="C28:E30"/>
    <mergeCell ref="F28:G28"/>
    <mergeCell ref="H28:I29"/>
    <mergeCell ref="J28:K29"/>
    <mergeCell ref="L28:M29"/>
    <mergeCell ref="N28:O29"/>
    <mergeCell ref="Q28:R29"/>
    <mergeCell ref="S28:T29"/>
    <mergeCell ref="B5:B7"/>
    <mergeCell ref="C5:C7"/>
    <mergeCell ref="D5:D7"/>
    <mergeCell ref="E5:E7"/>
    <mergeCell ref="F30:G30"/>
    <mergeCell ref="H30:I30"/>
    <mergeCell ref="Z28:AA28"/>
    <mergeCell ref="F29:G29"/>
    <mergeCell ref="Z29:AA29"/>
    <mergeCell ref="Q30:R30"/>
    <mergeCell ref="S30:T30"/>
    <mergeCell ref="U30:V30"/>
    <mergeCell ref="W30:X30"/>
    <mergeCell ref="Z30:AA30"/>
    <mergeCell ref="J30:K30"/>
    <mergeCell ref="L30:M30"/>
    <mergeCell ref="N30:O30"/>
    <mergeCell ref="U28:V29"/>
    <mergeCell ref="W28:X29"/>
  </mergeCells>
  <conditionalFormatting sqref="F8:G25">
    <cfRule type="containsText" dxfId="120" priority="9" operator="containsText" text="N/A">
      <formula>NOT(ISERROR(SEARCH("N/A",F8)))</formula>
    </cfRule>
    <cfRule type="cellIs" dxfId="119" priority="16" operator="between">
      <formula>0.01</formula>
      <formula>13</formula>
    </cfRule>
    <cfRule type="cellIs" dxfId="118" priority="17" operator="between">
      <formula>13</formula>
      <formula>18</formula>
    </cfRule>
    <cfRule type="cellIs" dxfId="117" priority="18" operator="greaterThan">
      <formula>18</formula>
    </cfRule>
    <cfRule type="cellIs" dxfId="116" priority="19" operator="greaterThan">
      <formula>18</formula>
    </cfRule>
  </conditionalFormatting>
  <conditionalFormatting sqref="K8:K25 T8:T25">
    <cfRule type="cellIs" dxfId="115" priority="15" operator="greaterThan">
      <formula>0.49</formula>
    </cfRule>
  </conditionalFormatting>
  <conditionalFormatting sqref="V8:V25 M8:M25">
    <cfRule type="cellIs" dxfId="114" priority="14" operator="greaterThan">
      <formula>0.49</formula>
    </cfRule>
  </conditionalFormatting>
  <conditionalFormatting sqref="O8:O25 X8:X25">
    <cfRule type="cellIs" dxfId="113" priority="13" operator="greaterThan">
      <formula>0.49</formula>
    </cfRule>
  </conditionalFormatting>
  <conditionalFormatting sqref="Z8:AA25">
    <cfRule type="cellIs" dxfId="112" priority="10" operator="between">
      <formula>0.0001</formula>
      <formula>0.1</formula>
    </cfRule>
    <cfRule type="cellIs" dxfId="111" priority="11" operator="between">
      <formula>0.1</formula>
      <formula>0.19</formula>
    </cfRule>
    <cfRule type="cellIs" dxfId="110" priority="12" operator="greaterThan">
      <formula>0.2</formula>
    </cfRule>
  </conditionalFormatting>
  <conditionalFormatting sqref="J8:J25">
    <cfRule type="expression" dxfId="109" priority="8">
      <formula>($J8/$P8*100)&gt;49.49</formula>
    </cfRule>
  </conditionalFormatting>
  <conditionalFormatting sqref="L8:L25">
    <cfRule type="expression" dxfId="108" priority="7">
      <formula>($L8/$P8*100)&gt;49.49</formula>
    </cfRule>
  </conditionalFormatting>
  <conditionalFormatting sqref="N8:N25">
    <cfRule type="expression" dxfId="107" priority="6">
      <formula>($N8/$P8*100)&gt;49.49</formula>
    </cfRule>
  </conditionalFormatting>
  <conditionalFormatting sqref="S8:S25">
    <cfRule type="expression" dxfId="106" priority="5">
      <formula>($S8/$Y8*100)&gt;49.49</formula>
    </cfRule>
  </conditionalFormatting>
  <conditionalFormatting sqref="U8:U25">
    <cfRule type="expression" dxfId="105" priority="4">
      <formula>($U8/$Y8*100)&gt;49.49</formula>
    </cfRule>
  </conditionalFormatting>
  <conditionalFormatting sqref="W8:W25">
    <cfRule type="expression" dxfId="104" priority="3">
      <formula>($W8/$Y8*100)&gt;49.49</formula>
    </cfRule>
  </conditionalFormatting>
  <conditionalFormatting sqref="L9">
    <cfRule type="expression" dxfId="103" priority="2">
      <formula>"$M$9=&gt;.499"</formula>
    </cfRule>
  </conditionalFormatting>
  <conditionalFormatting sqref="F8:AA25">
    <cfRule type="expression" dxfId="102" priority="1">
      <formula>$F8="No data"</formula>
    </cfRule>
  </conditionalFormatting>
  <hyperlinks>
    <hyperlink ref="C28:E30" location="Sheet1!A1" display="For more information on rag ratings please click here" xr:uid="{00000000-0004-0000-0600-000000000000}"/>
    <hyperlink ref="B3" location="'Front Page'!A1" display="Return to Contents" xr:uid="{00000000-0004-0000-0600-000001000000}"/>
  </hyperlink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C456"/>
  <sheetViews>
    <sheetView showGridLines="0" zoomScale="80" zoomScaleNormal="80" workbookViewId="0">
      <selection activeCell="Y1" sqref="Y1:AA1"/>
    </sheetView>
  </sheetViews>
  <sheetFormatPr defaultColWidth="0" defaultRowHeight="14.4" customHeight="1" zeroHeight="1" x14ac:dyDescent="0.3"/>
  <cols>
    <col min="1" max="29" width="9.109375" style="33" customWidth="1"/>
    <col min="30" max="16384" width="9.109375" style="33" hidden="1"/>
  </cols>
  <sheetData>
    <row r="1" spans="1:29" s="10" customFormat="1" ht="35.25" customHeight="1" x14ac:dyDescent="0.3">
      <c r="A1" s="341" t="s">
        <v>96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  <c r="T1" s="341"/>
      <c r="U1" s="341"/>
      <c r="V1" s="341"/>
      <c r="W1" s="341"/>
      <c r="X1" s="341"/>
      <c r="Y1" s="466" t="s">
        <v>95</v>
      </c>
      <c r="Z1" s="466"/>
      <c r="AA1" s="466"/>
    </row>
    <row r="2" spans="1:29" s="79" customFormat="1" ht="30" customHeight="1" x14ac:dyDescent="0.3">
      <c r="A2" s="343" t="s">
        <v>203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343"/>
      <c r="X2" s="343"/>
      <c r="Y2" s="343"/>
      <c r="Z2" s="343"/>
      <c r="AA2" s="343"/>
      <c r="AB2" s="343"/>
      <c r="AC2" s="343"/>
    </row>
    <row r="3" spans="1:29" s="80" customFormat="1" ht="25.5" customHeight="1" x14ac:dyDescent="0.3">
      <c r="A3" s="463"/>
      <c r="B3" s="464" t="s">
        <v>106</v>
      </c>
      <c r="C3" s="463"/>
      <c r="D3" s="463"/>
      <c r="E3" s="463"/>
      <c r="F3" s="463"/>
      <c r="G3" s="463"/>
      <c r="H3" s="463"/>
      <c r="I3" s="463"/>
      <c r="J3" s="463"/>
      <c r="K3" s="463"/>
      <c r="L3" s="463"/>
      <c r="M3" s="463"/>
      <c r="N3" s="463"/>
      <c r="O3" s="463"/>
      <c r="P3" s="463"/>
      <c r="Q3" s="463"/>
      <c r="R3" s="463"/>
      <c r="S3" s="463"/>
      <c r="T3" s="463"/>
      <c r="U3" s="463"/>
      <c r="V3" s="463"/>
      <c r="W3" s="463"/>
      <c r="X3" s="463"/>
      <c r="Y3" s="463"/>
      <c r="Z3" s="463"/>
      <c r="AA3" s="463"/>
      <c r="AB3" s="463"/>
      <c r="AC3" s="463"/>
    </row>
    <row r="4" spans="1:29" s="12" customFormat="1" x14ac:dyDescent="0.3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</row>
    <row r="5" spans="1:29" s="12" customFormat="1" x14ac:dyDescent="0.3">
      <c r="A5" s="169"/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69"/>
    </row>
    <row r="6" spans="1:29" s="12" customFormat="1" x14ac:dyDescent="0.3">
      <c r="A6" s="169"/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69"/>
    </row>
    <row r="7" spans="1:29" s="12" customFormat="1" x14ac:dyDescent="0.3">
      <c r="A7" s="169"/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76"/>
      <c r="AC7" s="169"/>
    </row>
    <row r="8" spans="1:29" s="12" customFormat="1" x14ac:dyDescent="0.3">
      <c r="A8" s="169"/>
      <c r="B8" s="176"/>
      <c r="C8" s="176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69"/>
    </row>
    <row r="9" spans="1:29" s="12" customFormat="1" x14ac:dyDescent="0.3">
      <c r="A9" s="169"/>
      <c r="B9" s="176"/>
      <c r="C9" s="176"/>
      <c r="D9" s="176"/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76"/>
      <c r="V9" s="176"/>
      <c r="W9" s="176"/>
      <c r="X9" s="176"/>
      <c r="Y9" s="176"/>
      <c r="Z9" s="176"/>
      <c r="AA9" s="176"/>
      <c r="AB9" s="176"/>
      <c r="AC9" s="169"/>
    </row>
    <row r="10" spans="1:29" s="12" customFormat="1" x14ac:dyDescent="0.3">
      <c r="A10" s="169"/>
      <c r="B10" s="176"/>
      <c r="C10" s="176"/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N10" s="176"/>
      <c r="O10" s="176"/>
      <c r="P10" s="176"/>
      <c r="Q10" s="176"/>
      <c r="R10" s="176"/>
      <c r="S10" s="176"/>
      <c r="T10" s="176"/>
      <c r="U10" s="176"/>
      <c r="V10" s="176"/>
      <c r="W10" s="176"/>
      <c r="X10" s="176"/>
      <c r="Y10" s="176"/>
      <c r="Z10" s="176"/>
      <c r="AA10" s="176"/>
      <c r="AB10" s="176"/>
      <c r="AC10" s="169"/>
    </row>
    <row r="11" spans="1:29" s="12" customFormat="1" x14ac:dyDescent="0.3">
      <c r="A11" s="169"/>
      <c r="B11" s="176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  <c r="R11" s="176"/>
      <c r="S11" s="176"/>
      <c r="T11" s="176"/>
      <c r="U11" s="176"/>
      <c r="V11" s="176"/>
      <c r="W11" s="176"/>
      <c r="X11" s="176"/>
      <c r="Y11" s="176"/>
      <c r="Z11" s="176"/>
      <c r="AA11" s="176"/>
      <c r="AB11" s="176"/>
      <c r="AC11" s="169"/>
    </row>
    <row r="12" spans="1:29" s="12" customFormat="1" x14ac:dyDescent="0.3">
      <c r="A12" s="169"/>
      <c r="B12" s="176"/>
      <c r="C12" s="176"/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76"/>
      <c r="X12" s="176"/>
      <c r="Y12" s="176"/>
      <c r="Z12" s="176"/>
      <c r="AA12" s="176"/>
      <c r="AB12" s="176"/>
      <c r="AC12" s="169"/>
    </row>
    <row r="13" spans="1:29" s="12" customFormat="1" x14ac:dyDescent="0.3">
      <c r="A13" s="169"/>
      <c r="B13" s="176"/>
      <c r="C13" s="176"/>
      <c r="D13" s="176"/>
      <c r="E13" s="176"/>
      <c r="F13" s="176"/>
      <c r="G13" s="176"/>
      <c r="H13" s="176"/>
      <c r="I13" s="176"/>
      <c r="J13" s="176"/>
      <c r="K13" s="176"/>
      <c r="L13" s="176"/>
      <c r="M13" s="176"/>
      <c r="N13" s="176"/>
      <c r="O13" s="176"/>
      <c r="P13" s="176"/>
      <c r="Q13" s="176"/>
      <c r="R13" s="176"/>
      <c r="S13" s="176"/>
      <c r="T13" s="176"/>
      <c r="U13" s="176"/>
      <c r="V13" s="176"/>
      <c r="W13" s="176"/>
      <c r="X13" s="176"/>
      <c r="Y13" s="176"/>
      <c r="Z13" s="176"/>
      <c r="AA13" s="176"/>
      <c r="AB13" s="176"/>
      <c r="AC13" s="169"/>
    </row>
    <row r="14" spans="1:29" s="12" customFormat="1" x14ac:dyDescent="0.3">
      <c r="A14" s="169"/>
      <c r="B14" s="176"/>
      <c r="C14" s="176"/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176"/>
      <c r="AA14" s="176"/>
      <c r="AB14" s="176"/>
      <c r="AC14" s="169"/>
    </row>
    <row r="15" spans="1:29" s="12" customFormat="1" x14ac:dyDescent="0.3">
      <c r="A15" s="169"/>
      <c r="B15" s="176"/>
      <c r="C15" s="176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6"/>
      <c r="AA15" s="176"/>
      <c r="AB15" s="176"/>
      <c r="AC15" s="169"/>
    </row>
    <row r="16" spans="1:29" s="12" customFormat="1" x14ac:dyDescent="0.3">
      <c r="A16" s="169"/>
      <c r="B16" s="176"/>
      <c r="C16" s="176"/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6"/>
      <c r="V16" s="176"/>
      <c r="W16" s="176"/>
      <c r="X16" s="176"/>
      <c r="Y16" s="176"/>
      <c r="Z16" s="176"/>
      <c r="AA16" s="176"/>
      <c r="AB16" s="176"/>
      <c r="AC16" s="169"/>
    </row>
    <row r="17" spans="1:29" s="12" customFormat="1" x14ac:dyDescent="0.3">
      <c r="A17" s="169"/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6"/>
      <c r="AA17" s="176"/>
      <c r="AB17" s="176"/>
      <c r="AC17" s="169"/>
    </row>
    <row r="18" spans="1:29" s="12" customFormat="1" x14ac:dyDescent="0.3">
      <c r="A18" s="169"/>
      <c r="B18" s="176"/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69"/>
    </row>
    <row r="19" spans="1:29" s="12" customFormat="1" x14ac:dyDescent="0.3">
      <c r="A19" s="169"/>
      <c r="B19" s="176"/>
      <c r="C19" s="176"/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6"/>
      <c r="AC19" s="169"/>
    </row>
    <row r="20" spans="1:29" s="12" customFormat="1" x14ac:dyDescent="0.3">
      <c r="A20" s="169"/>
      <c r="B20" s="176"/>
      <c r="C20" s="176"/>
      <c r="D20" s="176"/>
      <c r="E20" s="176"/>
      <c r="F20" s="176"/>
      <c r="G20" s="176"/>
      <c r="H20" s="176"/>
      <c r="I20" s="176"/>
      <c r="J20" s="176"/>
      <c r="K20" s="176"/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76"/>
      <c r="AA20" s="176"/>
      <c r="AB20" s="176"/>
      <c r="AC20" s="169"/>
    </row>
    <row r="21" spans="1:29" s="12" customFormat="1" x14ac:dyDescent="0.3">
      <c r="A21" s="169"/>
      <c r="B21" s="176"/>
      <c r="C21" s="176"/>
      <c r="D21" s="176"/>
      <c r="E21" s="176"/>
      <c r="F21" s="176"/>
      <c r="G21" s="176"/>
      <c r="H21" s="176"/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6"/>
      <c r="V21" s="176"/>
      <c r="W21" s="176"/>
      <c r="X21" s="176"/>
      <c r="Y21" s="176"/>
      <c r="Z21" s="176"/>
      <c r="AA21" s="176"/>
      <c r="AB21" s="176"/>
      <c r="AC21" s="169"/>
    </row>
    <row r="22" spans="1:29" s="12" customFormat="1" x14ac:dyDescent="0.3">
      <c r="A22" s="169"/>
      <c r="B22" s="176"/>
      <c r="C22" s="176"/>
      <c r="D22" s="176"/>
      <c r="E22" s="176"/>
      <c r="F22" s="176"/>
      <c r="G22" s="176"/>
      <c r="H22" s="176"/>
      <c r="I22" s="176"/>
      <c r="J22" s="176"/>
      <c r="K22" s="176"/>
      <c r="L22" s="176"/>
      <c r="M22" s="176"/>
      <c r="N22" s="176"/>
      <c r="O22" s="176"/>
      <c r="P22" s="176"/>
      <c r="Q22" s="176"/>
      <c r="R22" s="176"/>
      <c r="S22" s="176"/>
      <c r="T22" s="176"/>
      <c r="U22" s="176"/>
      <c r="V22" s="176"/>
      <c r="W22" s="176"/>
      <c r="X22" s="176"/>
      <c r="Y22" s="176"/>
      <c r="Z22" s="176"/>
      <c r="AA22" s="176"/>
      <c r="AB22" s="176"/>
      <c r="AC22" s="169"/>
    </row>
    <row r="23" spans="1:29" s="12" customFormat="1" x14ac:dyDescent="0.3">
      <c r="A23" s="169"/>
      <c r="B23" s="176"/>
      <c r="C23" s="176"/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69"/>
    </row>
    <row r="24" spans="1:29" s="12" customFormat="1" x14ac:dyDescent="0.3">
      <c r="A24" s="169"/>
      <c r="B24" s="176"/>
      <c r="C24" s="176"/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6"/>
      <c r="X24" s="176"/>
      <c r="Y24" s="176"/>
      <c r="Z24" s="176"/>
      <c r="AA24" s="176"/>
      <c r="AB24" s="176"/>
      <c r="AC24" s="169"/>
    </row>
    <row r="25" spans="1:29" s="12" customFormat="1" x14ac:dyDescent="0.3">
      <c r="A25" s="169"/>
      <c r="B25" s="176"/>
      <c r="C25" s="176"/>
      <c r="D25" s="176"/>
      <c r="E25" s="176"/>
      <c r="F25" s="176"/>
      <c r="G25" s="176"/>
      <c r="H25" s="176"/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6"/>
      <c r="Y25" s="176"/>
      <c r="Z25" s="176"/>
      <c r="AA25" s="176"/>
      <c r="AB25" s="176"/>
      <c r="AC25" s="169"/>
    </row>
    <row r="26" spans="1:29" s="12" customFormat="1" x14ac:dyDescent="0.3">
      <c r="A26" s="169"/>
      <c r="B26" s="176"/>
      <c r="C26" s="176"/>
      <c r="D26" s="176"/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6"/>
      <c r="AA26" s="176"/>
      <c r="AB26" s="176"/>
      <c r="AC26" s="169"/>
    </row>
    <row r="27" spans="1:29" s="12" customFormat="1" x14ac:dyDescent="0.3">
      <c r="A27" s="169"/>
      <c r="B27" s="176"/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176"/>
      <c r="X27" s="176"/>
      <c r="Y27" s="176"/>
      <c r="Z27" s="176"/>
      <c r="AA27" s="176"/>
      <c r="AB27" s="176"/>
      <c r="AC27" s="169"/>
    </row>
    <row r="28" spans="1:29" s="12" customFormat="1" x14ac:dyDescent="0.3">
      <c r="A28" s="169"/>
      <c r="B28" s="176"/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76"/>
      <c r="Z28" s="176"/>
      <c r="AA28" s="176"/>
      <c r="AB28" s="176"/>
      <c r="AC28" s="169"/>
    </row>
    <row r="29" spans="1:29" s="12" customFormat="1" x14ac:dyDescent="0.3">
      <c r="A29" s="169"/>
      <c r="B29" s="176"/>
      <c r="C29" s="176"/>
      <c r="D29" s="176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176"/>
      <c r="X29" s="176"/>
      <c r="Y29" s="176"/>
      <c r="Z29" s="176"/>
      <c r="AA29" s="176"/>
      <c r="AB29" s="176"/>
      <c r="AC29" s="169"/>
    </row>
    <row r="30" spans="1:29" s="12" customFormat="1" x14ac:dyDescent="0.3">
      <c r="A30" s="169"/>
      <c r="B30" s="176"/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76"/>
      <c r="AB30" s="176"/>
      <c r="AC30" s="169"/>
    </row>
    <row r="31" spans="1:29" s="12" customFormat="1" x14ac:dyDescent="0.3">
      <c r="A31" s="169"/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6"/>
      <c r="W31" s="176"/>
      <c r="X31" s="176"/>
      <c r="Y31" s="176"/>
      <c r="Z31" s="176"/>
      <c r="AA31" s="176"/>
      <c r="AB31" s="176"/>
      <c r="AC31" s="169"/>
    </row>
    <row r="32" spans="1:29" s="12" customFormat="1" x14ac:dyDescent="0.3">
      <c r="A32" s="169"/>
      <c r="B32" s="176"/>
      <c r="C32" s="176"/>
      <c r="D32" s="176"/>
      <c r="E32" s="176"/>
      <c r="F32" s="176"/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76"/>
      <c r="Z32" s="176"/>
      <c r="AA32" s="176"/>
      <c r="AB32" s="176"/>
      <c r="AC32" s="169"/>
    </row>
    <row r="33" spans="1:29" s="12" customFormat="1" x14ac:dyDescent="0.3">
      <c r="A33" s="169"/>
      <c r="B33" s="176"/>
      <c r="C33" s="176"/>
      <c r="D33" s="176"/>
      <c r="E33" s="176"/>
      <c r="F33" s="176"/>
      <c r="G33" s="176"/>
      <c r="H33" s="176"/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76"/>
      <c r="Z33" s="176"/>
      <c r="AA33" s="176"/>
      <c r="AB33" s="176"/>
      <c r="AC33" s="169"/>
    </row>
    <row r="34" spans="1:29" s="12" customFormat="1" x14ac:dyDescent="0.3">
      <c r="A34" s="169"/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  <c r="V34" s="169"/>
      <c r="W34" s="169"/>
      <c r="X34" s="169"/>
      <c r="Y34" s="169"/>
      <c r="Z34" s="169"/>
      <c r="AA34" s="169"/>
      <c r="AB34" s="169"/>
      <c r="AC34" s="169"/>
    </row>
    <row r="35" spans="1:29" s="12" customFormat="1" x14ac:dyDescent="0.3">
      <c r="A35" s="169"/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69"/>
      <c r="X35" s="169"/>
      <c r="Y35" s="169"/>
      <c r="Z35" s="169"/>
      <c r="AA35" s="169"/>
      <c r="AB35" s="169"/>
      <c r="AC35" s="169"/>
    </row>
    <row r="36" spans="1:29" s="80" customFormat="1" ht="25.5" customHeight="1" x14ac:dyDescent="0.3">
      <c r="A36" s="463"/>
      <c r="B36" s="464" t="s">
        <v>97</v>
      </c>
      <c r="C36" s="463"/>
      <c r="D36" s="463"/>
      <c r="E36" s="463"/>
      <c r="F36" s="463"/>
      <c r="G36" s="463"/>
      <c r="H36" s="463"/>
      <c r="I36" s="463"/>
      <c r="J36" s="463"/>
      <c r="K36" s="463"/>
      <c r="L36" s="463"/>
      <c r="M36" s="463"/>
      <c r="N36" s="463"/>
      <c r="O36" s="463"/>
      <c r="P36" s="463"/>
      <c r="Q36" s="463"/>
      <c r="R36" s="463"/>
      <c r="S36" s="463"/>
      <c r="T36" s="463"/>
      <c r="U36" s="463"/>
      <c r="V36" s="463"/>
      <c r="W36" s="463"/>
      <c r="X36" s="463"/>
      <c r="Y36" s="463"/>
      <c r="Z36" s="463"/>
      <c r="AA36" s="463"/>
      <c r="AB36" s="463"/>
      <c r="AC36" s="463"/>
    </row>
    <row r="37" spans="1:29" s="12" customFormat="1" x14ac:dyDescent="0.3">
      <c r="A37" s="169"/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69"/>
      <c r="Z37" s="169"/>
      <c r="AA37" s="169"/>
      <c r="AB37" s="169"/>
      <c r="AC37" s="169"/>
    </row>
    <row r="38" spans="1:29" s="78" customFormat="1" x14ac:dyDescent="0.3">
      <c r="A38" s="169"/>
      <c r="B38" s="176"/>
      <c r="C38" s="176"/>
      <c r="D38" s="176"/>
      <c r="E38" s="176"/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176"/>
      <c r="X38" s="176"/>
      <c r="Y38" s="176"/>
      <c r="Z38" s="176"/>
      <c r="AA38" s="176"/>
      <c r="AB38" s="176"/>
      <c r="AC38" s="176"/>
    </row>
    <row r="39" spans="1:29" s="78" customFormat="1" x14ac:dyDescent="0.3">
      <c r="A39" s="169"/>
      <c r="B39" s="176"/>
      <c r="C39" s="176"/>
      <c r="D39" s="176"/>
      <c r="E39" s="176"/>
      <c r="F39" s="176"/>
      <c r="G39" s="176"/>
      <c r="H39" s="176"/>
      <c r="I39" s="176"/>
      <c r="J39" s="176"/>
      <c r="K39" s="176"/>
      <c r="L39" s="176"/>
      <c r="M39" s="176"/>
      <c r="N39" s="176"/>
      <c r="O39" s="176"/>
      <c r="P39" s="176"/>
      <c r="Q39" s="176"/>
      <c r="R39" s="176"/>
      <c r="S39" s="176"/>
      <c r="T39" s="176"/>
      <c r="U39" s="176"/>
      <c r="V39" s="176"/>
      <c r="W39" s="176"/>
      <c r="X39" s="176"/>
      <c r="Y39" s="176"/>
      <c r="Z39" s="176"/>
      <c r="AA39" s="176"/>
      <c r="AB39" s="176"/>
      <c r="AC39" s="176"/>
    </row>
    <row r="40" spans="1:29" s="78" customFormat="1" x14ac:dyDescent="0.3">
      <c r="A40" s="169"/>
      <c r="B40" s="176"/>
      <c r="C40" s="176"/>
      <c r="D40" s="176"/>
      <c r="E40" s="176"/>
      <c r="F40" s="176"/>
      <c r="G40" s="176"/>
      <c r="H40" s="176"/>
      <c r="I40" s="176"/>
      <c r="J40" s="176"/>
      <c r="K40" s="176"/>
      <c r="L40" s="176"/>
      <c r="M40" s="176"/>
      <c r="N40" s="176"/>
      <c r="O40" s="176"/>
      <c r="P40" s="176"/>
      <c r="Q40" s="176"/>
      <c r="R40" s="176"/>
      <c r="S40" s="176"/>
      <c r="T40" s="176"/>
      <c r="U40" s="176"/>
      <c r="V40" s="176"/>
      <c r="W40" s="176"/>
      <c r="X40" s="176"/>
      <c r="Y40" s="176"/>
      <c r="Z40" s="176"/>
      <c r="AA40" s="176"/>
      <c r="AB40" s="176"/>
      <c r="AC40" s="176"/>
    </row>
    <row r="41" spans="1:29" s="78" customFormat="1" x14ac:dyDescent="0.3">
      <c r="A41" s="169"/>
      <c r="B41" s="176"/>
      <c r="C41" s="176"/>
      <c r="D41" s="176"/>
      <c r="E41" s="176"/>
      <c r="F41" s="176"/>
      <c r="G41" s="176"/>
      <c r="H41" s="176"/>
      <c r="I41" s="176"/>
      <c r="J41" s="176"/>
      <c r="K41" s="176"/>
      <c r="L41" s="176"/>
      <c r="M41" s="176"/>
      <c r="N41" s="176"/>
      <c r="O41" s="176"/>
      <c r="P41" s="176"/>
      <c r="Q41" s="176"/>
      <c r="R41" s="176"/>
      <c r="S41" s="176"/>
      <c r="T41" s="176"/>
      <c r="U41" s="176"/>
      <c r="V41" s="176"/>
      <c r="W41" s="176"/>
      <c r="X41" s="176"/>
      <c r="Y41" s="176"/>
      <c r="Z41" s="176"/>
      <c r="AA41" s="176"/>
      <c r="AB41" s="176"/>
      <c r="AC41" s="176"/>
    </row>
    <row r="42" spans="1:29" s="78" customFormat="1" x14ac:dyDescent="0.3">
      <c r="A42" s="169"/>
      <c r="B42" s="176"/>
      <c r="C42" s="176"/>
      <c r="D42" s="176"/>
      <c r="E42" s="176"/>
      <c r="F42" s="176"/>
      <c r="G42" s="176"/>
      <c r="H42" s="176"/>
      <c r="I42" s="176"/>
      <c r="J42" s="176"/>
      <c r="K42" s="176"/>
      <c r="L42" s="176"/>
      <c r="M42" s="176"/>
      <c r="N42" s="176"/>
      <c r="O42" s="176"/>
      <c r="P42" s="176"/>
      <c r="Q42" s="176"/>
      <c r="R42" s="176"/>
      <c r="S42" s="176"/>
      <c r="T42" s="176"/>
      <c r="U42" s="176"/>
      <c r="V42" s="176"/>
      <c r="W42" s="176"/>
      <c r="X42" s="176"/>
      <c r="Y42" s="176"/>
      <c r="Z42" s="176"/>
      <c r="AA42" s="176"/>
      <c r="AB42" s="176"/>
      <c r="AC42" s="176"/>
    </row>
    <row r="43" spans="1:29" s="78" customFormat="1" x14ac:dyDescent="0.3">
      <c r="A43" s="169"/>
      <c r="B43" s="176"/>
      <c r="C43" s="176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76"/>
      <c r="W43" s="176"/>
      <c r="X43" s="176"/>
      <c r="Y43" s="176"/>
      <c r="Z43" s="176"/>
      <c r="AA43" s="176"/>
      <c r="AB43" s="176"/>
      <c r="AC43" s="176"/>
    </row>
    <row r="44" spans="1:29" s="78" customFormat="1" x14ac:dyDescent="0.3">
      <c r="A44" s="169"/>
      <c r="B44" s="176"/>
      <c r="C44" s="176"/>
      <c r="D44" s="176"/>
      <c r="E44" s="176"/>
      <c r="F44" s="176"/>
      <c r="G44" s="176"/>
      <c r="H44" s="176"/>
      <c r="I44" s="176"/>
      <c r="J44" s="176"/>
      <c r="K44" s="176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176"/>
      <c r="X44" s="176"/>
      <c r="Y44" s="176"/>
      <c r="Z44" s="176"/>
      <c r="AA44" s="176"/>
      <c r="AB44" s="176"/>
      <c r="AC44" s="176"/>
    </row>
    <row r="45" spans="1:29" s="78" customFormat="1" x14ac:dyDescent="0.3">
      <c r="A45" s="169"/>
      <c r="B45" s="176"/>
      <c r="C45" s="176"/>
      <c r="D45" s="176"/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176"/>
      <c r="X45" s="176"/>
      <c r="Y45" s="176"/>
      <c r="Z45" s="176"/>
      <c r="AA45" s="176"/>
      <c r="AB45" s="176"/>
      <c r="AC45" s="176"/>
    </row>
    <row r="46" spans="1:29" s="78" customFormat="1" x14ac:dyDescent="0.3">
      <c r="A46" s="169"/>
      <c r="B46" s="176"/>
      <c r="C46" s="176"/>
      <c r="D46" s="176"/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176"/>
      <c r="P46" s="176"/>
      <c r="Q46" s="176"/>
      <c r="R46" s="176"/>
      <c r="S46" s="176"/>
      <c r="T46" s="176"/>
      <c r="U46" s="176"/>
      <c r="V46" s="176"/>
      <c r="W46" s="176"/>
      <c r="X46" s="176"/>
      <c r="Y46" s="176"/>
      <c r="Z46" s="176"/>
      <c r="AA46" s="176"/>
      <c r="AB46" s="176"/>
      <c r="AC46" s="176"/>
    </row>
    <row r="47" spans="1:29" s="78" customFormat="1" x14ac:dyDescent="0.3">
      <c r="A47" s="169"/>
      <c r="B47" s="176"/>
      <c r="C47" s="176"/>
      <c r="D47" s="176"/>
      <c r="E47" s="176"/>
      <c r="F47" s="176"/>
      <c r="G47" s="176"/>
      <c r="H47" s="176"/>
      <c r="I47" s="176"/>
      <c r="J47" s="176"/>
      <c r="K47" s="176"/>
      <c r="L47" s="176"/>
      <c r="M47" s="176"/>
      <c r="N47" s="176"/>
      <c r="O47" s="176"/>
      <c r="P47" s="176"/>
      <c r="Q47" s="176"/>
      <c r="R47" s="176"/>
      <c r="S47" s="176"/>
      <c r="T47" s="176"/>
      <c r="U47" s="176"/>
      <c r="V47" s="176"/>
      <c r="W47" s="176"/>
      <c r="X47" s="176"/>
      <c r="Y47" s="176"/>
      <c r="Z47" s="176"/>
      <c r="AA47" s="176"/>
      <c r="AB47" s="176"/>
      <c r="AC47" s="176"/>
    </row>
    <row r="48" spans="1:29" s="78" customFormat="1" x14ac:dyDescent="0.3">
      <c r="A48" s="169"/>
      <c r="B48" s="176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6"/>
      <c r="Q48" s="176"/>
      <c r="R48" s="176"/>
      <c r="S48" s="176"/>
      <c r="T48" s="176"/>
      <c r="U48" s="176"/>
      <c r="V48" s="176"/>
      <c r="W48" s="176"/>
      <c r="X48" s="176"/>
      <c r="Y48" s="176"/>
      <c r="Z48" s="176"/>
      <c r="AA48" s="176"/>
      <c r="AB48" s="176"/>
      <c r="AC48" s="176"/>
    </row>
    <row r="49" spans="1:29" s="78" customFormat="1" x14ac:dyDescent="0.3">
      <c r="A49" s="169"/>
      <c r="B49" s="176"/>
      <c r="C49" s="176"/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6"/>
      <c r="Q49" s="176"/>
      <c r="R49" s="176"/>
      <c r="S49" s="176"/>
      <c r="T49" s="176"/>
      <c r="U49" s="176"/>
      <c r="V49" s="176"/>
      <c r="W49" s="176"/>
      <c r="X49" s="176"/>
      <c r="Y49" s="176"/>
      <c r="Z49" s="176"/>
      <c r="AA49" s="176"/>
      <c r="AB49" s="176"/>
      <c r="AC49" s="176"/>
    </row>
    <row r="50" spans="1:29" s="78" customFormat="1" x14ac:dyDescent="0.3">
      <c r="A50" s="169"/>
      <c r="B50" s="176"/>
      <c r="C50" s="176"/>
      <c r="D50" s="176"/>
      <c r="E50" s="176"/>
      <c r="F50" s="176"/>
      <c r="G50" s="176"/>
      <c r="H50" s="176"/>
      <c r="I50" s="176"/>
      <c r="J50" s="176"/>
      <c r="K50" s="176"/>
      <c r="L50" s="176"/>
      <c r="M50" s="176"/>
      <c r="N50" s="176"/>
      <c r="O50" s="176"/>
      <c r="P50" s="176"/>
      <c r="Q50" s="176"/>
      <c r="R50" s="176"/>
      <c r="S50" s="176"/>
      <c r="T50" s="176"/>
      <c r="U50" s="176"/>
      <c r="V50" s="176"/>
      <c r="W50" s="176"/>
      <c r="X50" s="176"/>
      <c r="Y50" s="176"/>
      <c r="Z50" s="176"/>
      <c r="AA50" s="176"/>
      <c r="AB50" s="176"/>
      <c r="AC50" s="176"/>
    </row>
    <row r="51" spans="1:29" s="78" customFormat="1" x14ac:dyDescent="0.3">
      <c r="A51" s="169"/>
      <c r="B51" s="176"/>
      <c r="C51" s="176"/>
      <c r="D51" s="176"/>
      <c r="E51" s="176"/>
      <c r="F51" s="176"/>
      <c r="G51" s="176"/>
      <c r="H51" s="176"/>
      <c r="I51" s="176"/>
      <c r="J51" s="176"/>
      <c r="K51" s="176"/>
      <c r="L51" s="176"/>
      <c r="M51" s="176"/>
      <c r="N51" s="176"/>
      <c r="O51" s="176"/>
      <c r="P51" s="176"/>
      <c r="Q51" s="176"/>
      <c r="R51" s="176"/>
      <c r="S51" s="176"/>
      <c r="T51" s="176"/>
      <c r="U51" s="176"/>
      <c r="V51" s="176"/>
      <c r="W51" s="176"/>
      <c r="X51" s="176"/>
      <c r="Y51" s="176"/>
      <c r="Z51" s="176"/>
      <c r="AA51" s="176"/>
      <c r="AB51" s="176"/>
      <c r="AC51" s="176"/>
    </row>
    <row r="52" spans="1:29" s="78" customFormat="1" x14ac:dyDescent="0.3">
      <c r="A52" s="169"/>
      <c r="B52" s="176"/>
      <c r="C52" s="176"/>
      <c r="D52" s="176"/>
      <c r="E52" s="176"/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76"/>
      <c r="R52" s="176"/>
      <c r="S52" s="176"/>
      <c r="T52" s="176"/>
      <c r="U52" s="176"/>
      <c r="V52" s="176"/>
      <c r="W52" s="176"/>
      <c r="X52" s="176"/>
      <c r="Y52" s="176"/>
      <c r="Z52" s="176"/>
      <c r="AA52" s="176"/>
      <c r="AB52" s="176"/>
      <c r="AC52" s="176"/>
    </row>
    <row r="53" spans="1:29" s="78" customFormat="1" x14ac:dyDescent="0.3">
      <c r="A53" s="169"/>
      <c r="B53" s="176"/>
      <c r="C53" s="176"/>
      <c r="D53" s="176"/>
      <c r="E53" s="176"/>
      <c r="F53" s="176"/>
      <c r="G53" s="176"/>
      <c r="H53" s="176"/>
      <c r="I53" s="176"/>
      <c r="J53" s="176"/>
      <c r="K53" s="176"/>
      <c r="L53" s="176"/>
      <c r="M53" s="176"/>
      <c r="N53" s="176"/>
      <c r="O53" s="176"/>
      <c r="P53" s="176"/>
      <c r="Q53" s="176"/>
      <c r="R53" s="176"/>
      <c r="S53" s="176"/>
      <c r="T53" s="176"/>
      <c r="U53" s="176"/>
      <c r="V53" s="176"/>
      <c r="W53" s="176"/>
      <c r="X53" s="176"/>
      <c r="Y53" s="176"/>
      <c r="Z53" s="176"/>
      <c r="AA53" s="176"/>
      <c r="AB53" s="176"/>
      <c r="AC53" s="176"/>
    </row>
    <row r="54" spans="1:29" s="78" customFormat="1" x14ac:dyDescent="0.3">
      <c r="A54" s="169"/>
      <c r="B54" s="176"/>
      <c r="C54" s="176"/>
      <c r="D54" s="176"/>
      <c r="E54" s="176"/>
      <c r="F54" s="176"/>
      <c r="G54" s="176"/>
      <c r="H54" s="176"/>
      <c r="I54" s="176"/>
      <c r="J54" s="176"/>
      <c r="K54" s="176"/>
      <c r="L54" s="176"/>
      <c r="M54" s="176"/>
      <c r="N54" s="176"/>
      <c r="O54" s="176"/>
      <c r="P54" s="176"/>
      <c r="Q54" s="176"/>
      <c r="R54" s="176"/>
      <c r="S54" s="176"/>
      <c r="T54" s="176"/>
      <c r="U54" s="176"/>
      <c r="V54" s="176"/>
      <c r="W54" s="176"/>
      <c r="X54" s="176"/>
      <c r="Y54" s="176"/>
      <c r="Z54" s="176"/>
      <c r="AA54" s="176"/>
      <c r="AB54" s="176"/>
      <c r="AC54" s="176"/>
    </row>
    <row r="55" spans="1:29" s="78" customFormat="1" x14ac:dyDescent="0.3">
      <c r="A55" s="169"/>
      <c r="B55" s="176"/>
      <c r="C55" s="176"/>
      <c r="D55" s="176"/>
      <c r="E55" s="176"/>
      <c r="F55" s="176"/>
      <c r="G55" s="176"/>
      <c r="H55" s="176"/>
      <c r="I55" s="176"/>
      <c r="J55" s="176"/>
      <c r="K55" s="176"/>
      <c r="L55" s="176"/>
      <c r="M55" s="176"/>
      <c r="N55" s="176"/>
      <c r="O55" s="176"/>
      <c r="P55" s="176"/>
      <c r="Q55" s="176"/>
      <c r="R55" s="176"/>
      <c r="S55" s="176"/>
      <c r="T55" s="176"/>
      <c r="U55" s="176"/>
      <c r="V55" s="176"/>
      <c r="W55" s="176"/>
      <c r="X55" s="176"/>
      <c r="Y55" s="176"/>
      <c r="Z55" s="176"/>
      <c r="AA55" s="176"/>
      <c r="AB55" s="176"/>
      <c r="AC55" s="176"/>
    </row>
    <row r="56" spans="1:29" s="78" customFormat="1" x14ac:dyDescent="0.3">
      <c r="A56" s="169"/>
      <c r="B56" s="176"/>
      <c r="C56" s="176"/>
      <c r="D56" s="176"/>
      <c r="E56" s="176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  <c r="R56" s="176"/>
      <c r="S56" s="176"/>
      <c r="T56" s="176"/>
      <c r="U56" s="176"/>
      <c r="V56" s="176"/>
      <c r="W56" s="176"/>
      <c r="X56" s="176"/>
      <c r="Y56" s="176"/>
      <c r="Z56" s="176"/>
      <c r="AA56" s="176"/>
      <c r="AB56" s="176"/>
      <c r="AC56" s="176"/>
    </row>
    <row r="57" spans="1:29" s="78" customFormat="1" x14ac:dyDescent="0.3">
      <c r="A57" s="169"/>
      <c r="B57" s="176"/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  <c r="AA57" s="176"/>
      <c r="AB57" s="176"/>
      <c r="AC57" s="176"/>
    </row>
    <row r="58" spans="1:29" s="78" customFormat="1" x14ac:dyDescent="0.3">
      <c r="A58" s="169"/>
      <c r="B58" s="176"/>
      <c r="C58" s="176"/>
      <c r="D58" s="176"/>
      <c r="E58" s="176"/>
      <c r="F58" s="176"/>
      <c r="G58" s="176"/>
      <c r="H58" s="176"/>
      <c r="I58" s="176"/>
      <c r="J58" s="176"/>
      <c r="K58" s="176"/>
      <c r="L58" s="176"/>
      <c r="M58" s="176"/>
      <c r="N58" s="176"/>
      <c r="O58" s="176"/>
      <c r="P58" s="176"/>
      <c r="Q58" s="176"/>
      <c r="R58" s="176"/>
      <c r="S58" s="176"/>
      <c r="T58" s="176"/>
      <c r="U58" s="176"/>
      <c r="V58" s="176"/>
      <c r="W58" s="176"/>
      <c r="X58" s="176"/>
      <c r="Y58" s="176"/>
      <c r="Z58" s="176"/>
      <c r="AA58" s="176"/>
      <c r="AB58" s="176"/>
      <c r="AC58" s="176"/>
    </row>
    <row r="59" spans="1:29" s="78" customFormat="1" x14ac:dyDescent="0.3">
      <c r="A59" s="169"/>
      <c r="B59" s="176"/>
      <c r="C59" s="176"/>
      <c r="D59" s="176"/>
      <c r="E59" s="176"/>
      <c r="F59" s="176"/>
      <c r="G59" s="176"/>
      <c r="H59" s="176"/>
      <c r="I59" s="176"/>
      <c r="J59" s="176"/>
      <c r="K59" s="176"/>
      <c r="L59" s="176"/>
      <c r="M59" s="176"/>
      <c r="N59" s="176"/>
      <c r="O59" s="176"/>
      <c r="P59" s="176"/>
      <c r="Q59" s="176"/>
      <c r="R59" s="176"/>
      <c r="S59" s="176"/>
      <c r="T59" s="176"/>
      <c r="U59" s="176"/>
      <c r="V59" s="176"/>
      <c r="W59" s="176"/>
      <c r="X59" s="176"/>
      <c r="Y59" s="176"/>
      <c r="Z59" s="176"/>
      <c r="AA59" s="176"/>
      <c r="AB59" s="176"/>
      <c r="AC59" s="176"/>
    </row>
    <row r="60" spans="1:29" s="78" customFormat="1" x14ac:dyDescent="0.3">
      <c r="A60" s="169"/>
      <c r="B60" s="176"/>
      <c r="C60" s="176"/>
      <c r="D60" s="176"/>
      <c r="E60" s="176"/>
      <c r="F60" s="176"/>
      <c r="G60" s="176"/>
      <c r="H60" s="176"/>
      <c r="I60" s="176"/>
      <c r="J60" s="176"/>
      <c r="K60" s="176"/>
      <c r="L60" s="176"/>
      <c r="M60" s="176"/>
      <c r="N60" s="176"/>
      <c r="O60" s="176"/>
      <c r="P60" s="176"/>
      <c r="Q60" s="176"/>
      <c r="R60" s="176"/>
      <c r="S60" s="176"/>
      <c r="T60" s="176"/>
      <c r="U60" s="176"/>
      <c r="V60" s="176"/>
      <c r="W60" s="176"/>
      <c r="X60" s="176"/>
      <c r="Y60" s="176"/>
      <c r="Z60" s="176"/>
      <c r="AA60" s="176"/>
      <c r="AB60" s="176"/>
      <c r="AC60" s="176"/>
    </row>
    <row r="61" spans="1:29" s="78" customFormat="1" x14ac:dyDescent="0.3">
      <c r="A61" s="169"/>
      <c r="B61" s="176"/>
      <c r="C61" s="176"/>
      <c r="D61" s="176"/>
      <c r="E61" s="176"/>
      <c r="F61" s="176"/>
      <c r="G61" s="176"/>
      <c r="H61" s="176"/>
      <c r="I61" s="176"/>
      <c r="J61" s="176"/>
      <c r="K61" s="176"/>
      <c r="L61" s="176"/>
      <c r="M61" s="176"/>
      <c r="N61" s="176"/>
      <c r="O61" s="176"/>
      <c r="P61" s="176"/>
      <c r="Q61" s="176"/>
      <c r="R61" s="176"/>
      <c r="S61" s="176"/>
      <c r="T61" s="176"/>
      <c r="U61" s="176"/>
      <c r="V61" s="176"/>
      <c r="W61" s="176"/>
      <c r="X61" s="176"/>
      <c r="Y61" s="176"/>
      <c r="Z61" s="176"/>
      <c r="AA61" s="176"/>
      <c r="AB61" s="176"/>
      <c r="AC61" s="176"/>
    </row>
    <row r="62" spans="1:29" s="78" customFormat="1" x14ac:dyDescent="0.3">
      <c r="A62" s="169"/>
      <c r="B62" s="176"/>
      <c r="C62" s="176"/>
      <c r="D62" s="176"/>
      <c r="E62" s="176"/>
      <c r="F62" s="176"/>
      <c r="G62" s="176"/>
      <c r="H62" s="176"/>
      <c r="I62" s="176"/>
      <c r="J62" s="176"/>
      <c r="K62" s="176"/>
      <c r="L62" s="176"/>
      <c r="M62" s="176"/>
      <c r="N62" s="176"/>
      <c r="O62" s="176"/>
      <c r="P62" s="176"/>
      <c r="Q62" s="176"/>
      <c r="R62" s="176"/>
      <c r="S62" s="176"/>
      <c r="T62" s="176"/>
      <c r="U62" s="176"/>
      <c r="V62" s="176"/>
      <c r="W62" s="176"/>
      <c r="X62" s="176"/>
      <c r="Y62" s="176"/>
      <c r="Z62" s="176"/>
      <c r="AA62" s="176"/>
      <c r="AB62" s="176"/>
      <c r="AC62" s="176"/>
    </row>
    <row r="63" spans="1:29" s="78" customFormat="1" x14ac:dyDescent="0.3">
      <c r="A63" s="169"/>
      <c r="B63" s="176"/>
      <c r="C63" s="176"/>
      <c r="D63" s="176"/>
      <c r="E63" s="176"/>
      <c r="F63" s="176"/>
      <c r="G63" s="176"/>
      <c r="H63" s="176"/>
      <c r="I63" s="176"/>
      <c r="J63" s="176"/>
      <c r="K63" s="176"/>
      <c r="L63" s="176"/>
      <c r="M63" s="176"/>
      <c r="N63" s="176"/>
      <c r="O63" s="176"/>
      <c r="P63" s="176"/>
      <c r="Q63" s="176"/>
      <c r="R63" s="176"/>
      <c r="S63" s="176"/>
      <c r="T63" s="176"/>
      <c r="U63" s="176"/>
      <c r="V63" s="176"/>
      <c r="W63" s="176"/>
      <c r="X63" s="176"/>
      <c r="Y63" s="176"/>
      <c r="Z63" s="176"/>
      <c r="AA63" s="176"/>
      <c r="AB63" s="176"/>
      <c r="AC63" s="176"/>
    </row>
    <row r="64" spans="1:29" s="78" customFormat="1" x14ac:dyDescent="0.3">
      <c r="A64" s="169"/>
      <c r="B64" s="176"/>
      <c r="C64" s="176"/>
      <c r="D64" s="176"/>
      <c r="E64" s="176"/>
      <c r="F64" s="176"/>
      <c r="G64" s="176"/>
      <c r="H64" s="176"/>
      <c r="I64" s="176"/>
      <c r="J64" s="176"/>
      <c r="K64" s="176"/>
      <c r="L64" s="176"/>
      <c r="M64" s="176"/>
      <c r="N64" s="176"/>
      <c r="O64" s="176"/>
      <c r="P64" s="176"/>
      <c r="Q64" s="176"/>
      <c r="R64" s="176"/>
      <c r="S64" s="176"/>
      <c r="T64" s="176"/>
      <c r="U64" s="176"/>
      <c r="V64" s="176"/>
      <c r="W64" s="176"/>
      <c r="X64" s="176"/>
      <c r="Y64" s="176"/>
      <c r="Z64" s="176"/>
      <c r="AA64" s="176"/>
      <c r="AB64" s="176"/>
      <c r="AC64" s="176"/>
    </row>
    <row r="65" spans="1:29" s="78" customFormat="1" x14ac:dyDescent="0.3">
      <c r="A65" s="169"/>
      <c r="B65" s="176"/>
      <c r="C65" s="176"/>
      <c r="D65" s="176"/>
      <c r="E65" s="176"/>
      <c r="F65" s="176"/>
      <c r="G65" s="176"/>
      <c r="H65" s="176"/>
      <c r="I65" s="176"/>
      <c r="J65" s="176"/>
      <c r="K65" s="176"/>
      <c r="L65" s="176"/>
      <c r="M65" s="176"/>
      <c r="N65" s="176"/>
      <c r="O65" s="176"/>
      <c r="P65" s="176"/>
      <c r="Q65" s="176"/>
      <c r="R65" s="176"/>
      <c r="S65" s="176"/>
      <c r="T65" s="176"/>
      <c r="U65" s="176"/>
      <c r="V65" s="176"/>
      <c r="W65" s="176"/>
      <c r="X65" s="176"/>
      <c r="Y65" s="176"/>
      <c r="Z65" s="176"/>
      <c r="AA65" s="176"/>
      <c r="AB65" s="176"/>
      <c r="AC65" s="176"/>
    </row>
    <row r="66" spans="1:29" s="78" customFormat="1" x14ac:dyDescent="0.3">
      <c r="A66" s="169"/>
      <c r="B66" s="176"/>
      <c r="C66" s="176"/>
      <c r="D66" s="176"/>
      <c r="E66" s="176"/>
      <c r="F66" s="176"/>
      <c r="G66" s="176"/>
      <c r="H66" s="176"/>
      <c r="I66" s="176"/>
      <c r="J66" s="176"/>
      <c r="K66" s="176"/>
      <c r="L66" s="176"/>
      <c r="M66" s="176"/>
      <c r="N66" s="176"/>
      <c r="O66" s="176"/>
      <c r="P66" s="176"/>
      <c r="Q66" s="176"/>
      <c r="R66" s="176"/>
      <c r="S66" s="176"/>
      <c r="T66" s="176"/>
      <c r="U66" s="176"/>
      <c r="V66" s="176"/>
      <c r="W66" s="176"/>
      <c r="X66" s="176"/>
      <c r="Y66" s="176"/>
      <c r="Z66" s="176"/>
      <c r="AA66" s="176"/>
      <c r="AB66" s="176"/>
      <c r="AC66" s="176"/>
    </row>
    <row r="67" spans="1:29" s="78" customFormat="1" x14ac:dyDescent="0.3">
      <c r="A67" s="169"/>
      <c r="B67" s="176"/>
      <c r="C67" s="176"/>
      <c r="D67" s="176"/>
      <c r="E67" s="176"/>
      <c r="F67" s="176"/>
      <c r="G67" s="176"/>
      <c r="H67" s="176"/>
      <c r="I67" s="176"/>
      <c r="J67" s="176"/>
      <c r="K67" s="176"/>
      <c r="L67" s="176"/>
      <c r="M67" s="176"/>
      <c r="N67" s="176"/>
      <c r="O67" s="176"/>
      <c r="P67" s="176"/>
      <c r="Q67" s="176"/>
      <c r="R67" s="176"/>
      <c r="S67" s="176"/>
      <c r="T67" s="176"/>
      <c r="U67" s="176"/>
      <c r="V67" s="176"/>
      <c r="W67" s="176"/>
      <c r="X67" s="176"/>
      <c r="Y67" s="176"/>
      <c r="Z67" s="176"/>
      <c r="AA67" s="176"/>
      <c r="AB67" s="176"/>
      <c r="AC67" s="176"/>
    </row>
    <row r="68" spans="1:29" s="78" customFormat="1" x14ac:dyDescent="0.3">
      <c r="A68" s="169"/>
      <c r="B68" s="176"/>
      <c r="C68" s="176"/>
      <c r="D68" s="176"/>
      <c r="E68" s="176"/>
      <c r="F68" s="176"/>
      <c r="G68" s="176"/>
      <c r="H68" s="176"/>
      <c r="I68" s="176"/>
      <c r="J68" s="176"/>
      <c r="K68" s="176"/>
      <c r="L68" s="176"/>
      <c r="M68" s="176"/>
      <c r="N68" s="176"/>
      <c r="O68" s="176"/>
      <c r="P68" s="176"/>
      <c r="Q68" s="176"/>
      <c r="R68" s="176"/>
      <c r="S68" s="176"/>
      <c r="T68" s="176"/>
      <c r="U68" s="176"/>
      <c r="V68" s="176"/>
      <c r="W68" s="176"/>
      <c r="X68" s="176"/>
      <c r="Y68" s="176"/>
      <c r="Z68" s="176"/>
      <c r="AA68" s="176"/>
      <c r="AB68" s="176"/>
      <c r="AC68" s="176"/>
    </row>
    <row r="69" spans="1:29" s="78" customFormat="1" x14ac:dyDescent="0.3">
      <c r="A69" s="169"/>
      <c r="B69" s="176"/>
      <c r="C69" s="176"/>
      <c r="D69" s="176"/>
      <c r="E69" s="176"/>
      <c r="F69" s="176"/>
      <c r="G69" s="176"/>
      <c r="H69" s="176"/>
      <c r="I69" s="176"/>
      <c r="J69" s="176"/>
      <c r="K69" s="176"/>
      <c r="L69" s="176"/>
      <c r="M69" s="176"/>
      <c r="N69" s="176"/>
      <c r="O69" s="176"/>
      <c r="P69" s="176"/>
      <c r="Q69" s="176"/>
      <c r="R69" s="176"/>
      <c r="S69" s="176"/>
      <c r="T69" s="176"/>
      <c r="U69" s="176"/>
      <c r="V69" s="176"/>
      <c r="W69" s="176"/>
      <c r="X69" s="176"/>
      <c r="Y69" s="176"/>
      <c r="Z69" s="176"/>
      <c r="AA69" s="176"/>
      <c r="AB69" s="176"/>
      <c r="AC69" s="176"/>
    </row>
    <row r="70" spans="1:29" s="78" customFormat="1" x14ac:dyDescent="0.3">
      <c r="A70" s="169"/>
      <c r="B70" s="176"/>
      <c r="C70" s="176"/>
      <c r="D70" s="176"/>
      <c r="E70" s="176"/>
      <c r="F70" s="176"/>
      <c r="G70" s="176"/>
      <c r="H70" s="176"/>
      <c r="I70" s="176"/>
      <c r="J70" s="176"/>
      <c r="K70" s="176"/>
      <c r="L70" s="176"/>
      <c r="M70" s="176"/>
      <c r="N70" s="176"/>
      <c r="O70" s="176"/>
      <c r="P70" s="176"/>
      <c r="Q70" s="176"/>
      <c r="R70" s="176"/>
      <c r="S70" s="176"/>
      <c r="T70" s="176"/>
      <c r="U70" s="176"/>
      <c r="V70" s="176"/>
      <c r="W70" s="176"/>
      <c r="X70" s="176"/>
      <c r="Y70" s="176"/>
      <c r="Z70" s="176"/>
      <c r="AA70" s="176"/>
      <c r="AB70" s="176"/>
      <c r="AC70" s="176"/>
    </row>
    <row r="71" spans="1:29" s="78" customFormat="1" x14ac:dyDescent="0.3">
      <c r="A71" s="169"/>
      <c r="B71" s="176"/>
      <c r="C71" s="176"/>
      <c r="D71" s="176"/>
      <c r="E71" s="176"/>
      <c r="F71" s="176"/>
      <c r="G71" s="176"/>
      <c r="H71" s="176"/>
      <c r="I71" s="176"/>
      <c r="J71" s="176"/>
      <c r="K71" s="176"/>
      <c r="L71" s="176"/>
      <c r="M71" s="176"/>
      <c r="N71" s="176"/>
      <c r="O71" s="176"/>
      <c r="P71" s="176"/>
      <c r="Q71" s="176"/>
      <c r="R71" s="176"/>
      <c r="S71" s="176"/>
      <c r="T71" s="176"/>
      <c r="U71" s="176"/>
      <c r="V71" s="176"/>
      <c r="W71" s="176"/>
      <c r="X71" s="176"/>
      <c r="Y71" s="176"/>
      <c r="Z71" s="176"/>
      <c r="AA71" s="176"/>
      <c r="AB71" s="176"/>
      <c r="AC71" s="176"/>
    </row>
    <row r="72" spans="1:29" s="78" customFormat="1" x14ac:dyDescent="0.3">
      <c r="A72" s="169"/>
      <c r="B72" s="176"/>
      <c r="C72" s="176"/>
      <c r="D72" s="176"/>
      <c r="E72" s="176"/>
      <c r="F72" s="176"/>
      <c r="G72" s="176"/>
      <c r="H72" s="176"/>
      <c r="I72" s="176"/>
      <c r="J72" s="176"/>
      <c r="K72" s="176"/>
      <c r="L72" s="176"/>
      <c r="M72" s="176"/>
      <c r="N72" s="176"/>
      <c r="O72" s="176"/>
      <c r="P72" s="176"/>
      <c r="Q72" s="176"/>
      <c r="R72" s="176"/>
      <c r="S72" s="176"/>
      <c r="T72" s="176"/>
      <c r="U72" s="176"/>
      <c r="V72" s="176"/>
      <c r="W72" s="176"/>
      <c r="X72" s="176"/>
      <c r="Y72" s="176"/>
      <c r="Z72" s="176"/>
      <c r="AA72" s="176"/>
      <c r="AB72" s="176"/>
      <c r="AC72" s="176"/>
    </row>
    <row r="73" spans="1:29" s="78" customFormat="1" x14ac:dyDescent="0.3">
      <c r="A73" s="169"/>
      <c r="B73" s="176"/>
      <c r="C73" s="176"/>
      <c r="D73" s="176"/>
      <c r="E73" s="176"/>
      <c r="F73" s="176"/>
      <c r="G73" s="176"/>
      <c r="H73" s="176"/>
      <c r="I73" s="176"/>
      <c r="J73" s="176"/>
      <c r="K73" s="176"/>
      <c r="L73" s="176"/>
      <c r="M73" s="176"/>
      <c r="N73" s="176"/>
      <c r="O73" s="176"/>
      <c r="P73" s="176"/>
      <c r="Q73" s="176"/>
      <c r="R73" s="176"/>
      <c r="S73" s="176"/>
      <c r="T73" s="176"/>
      <c r="U73" s="176"/>
      <c r="V73" s="176"/>
      <c r="W73" s="176"/>
      <c r="X73" s="176"/>
      <c r="Y73" s="176"/>
      <c r="Z73" s="176"/>
      <c r="AA73" s="176"/>
      <c r="AB73" s="176"/>
      <c r="AC73" s="176"/>
    </row>
    <row r="74" spans="1:29" s="78" customFormat="1" x14ac:dyDescent="0.3">
      <c r="A74" s="169"/>
      <c r="B74" s="176"/>
      <c r="C74" s="176"/>
      <c r="D74" s="176"/>
      <c r="E74" s="176"/>
      <c r="F74" s="176"/>
      <c r="G74" s="176"/>
      <c r="H74" s="176"/>
      <c r="I74" s="176"/>
      <c r="J74" s="176"/>
      <c r="K74" s="176"/>
      <c r="L74" s="176"/>
      <c r="M74" s="176"/>
      <c r="N74" s="176"/>
      <c r="O74" s="176"/>
      <c r="P74" s="176"/>
      <c r="Q74" s="176"/>
      <c r="R74" s="176"/>
      <c r="S74" s="176"/>
      <c r="T74" s="176"/>
      <c r="U74" s="176"/>
      <c r="V74" s="176"/>
      <c r="W74" s="176"/>
      <c r="X74" s="176"/>
      <c r="Y74" s="176"/>
      <c r="Z74" s="176"/>
      <c r="AA74" s="176"/>
      <c r="AB74" s="176"/>
      <c r="AC74" s="176"/>
    </row>
    <row r="75" spans="1:29" s="78" customFormat="1" x14ac:dyDescent="0.3">
      <c r="A75" s="169"/>
      <c r="B75" s="176"/>
      <c r="C75" s="176"/>
      <c r="D75" s="176"/>
      <c r="E75" s="176"/>
      <c r="F75" s="176"/>
      <c r="G75" s="176"/>
      <c r="H75" s="176"/>
      <c r="I75" s="176"/>
      <c r="J75" s="176"/>
      <c r="K75" s="176"/>
      <c r="L75" s="176"/>
      <c r="M75" s="176"/>
      <c r="N75" s="176"/>
      <c r="O75" s="176"/>
      <c r="P75" s="176"/>
      <c r="Q75" s="176"/>
      <c r="R75" s="176"/>
      <c r="S75" s="176"/>
      <c r="T75" s="176"/>
      <c r="U75" s="176"/>
      <c r="V75" s="176"/>
      <c r="W75" s="176"/>
      <c r="X75" s="176"/>
      <c r="Y75" s="176"/>
      <c r="Z75" s="176"/>
      <c r="AA75" s="176"/>
      <c r="AB75" s="176"/>
      <c r="AC75" s="176"/>
    </row>
    <row r="76" spans="1:29" s="78" customFormat="1" x14ac:dyDescent="0.3">
      <c r="A76" s="169"/>
      <c r="B76" s="176"/>
      <c r="C76" s="176"/>
      <c r="D76" s="176"/>
      <c r="E76" s="176"/>
      <c r="F76" s="176"/>
      <c r="G76" s="176"/>
      <c r="H76" s="176"/>
      <c r="I76" s="176"/>
      <c r="J76" s="176"/>
      <c r="K76" s="176"/>
      <c r="L76" s="176"/>
      <c r="M76" s="176"/>
      <c r="N76" s="176"/>
      <c r="O76" s="176"/>
      <c r="P76" s="176"/>
      <c r="Q76" s="176"/>
      <c r="R76" s="176"/>
      <c r="S76" s="176"/>
      <c r="T76" s="176"/>
      <c r="U76" s="176"/>
      <c r="V76" s="176"/>
      <c r="W76" s="176"/>
      <c r="X76" s="176"/>
      <c r="Y76" s="176"/>
      <c r="Z76" s="176"/>
      <c r="AA76" s="176"/>
      <c r="AB76" s="176"/>
      <c r="AC76" s="176"/>
    </row>
    <row r="77" spans="1:29" s="78" customFormat="1" x14ac:dyDescent="0.3">
      <c r="A77" s="169"/>
      <c r="B77" s="176"/>
      <c r="C77" s="176"/>
      <c r="D77" s="176"/>
      <c r="E77" s="176"/>
      <c r="F77" s="176"/>
      <c r="G77" s="176"/>
      <c r="H77" s="176"/>
      <c r="I77" s="176"/>
      <c r="J77" s="176"/>
      <c r="K77" s="176"/>
      <c r="L77" s="176"/>
      <c r="M77" s="176"/>
      <c r="N77" s="176"/>
      <c r="O77" s="176"/>
      <c r="P77" s="176"/>
      <c r="Q77" s="176"/>
      <c r="R77" s="176"/>
      <c r="S77" s="176"/>
      <c r="T77" s="176"/>
      <c r="U77" s="176"/>
      <c r="V77" s="176"/>
      <c r="W77" s="176"/>
      <c r="X77" s="176"/>
      <c r="Y77" s="176"/>
      <c r="Z77" s="176"/>
      <c r="AA77" s="176"/>
      <c r="AB77" s="176"/>
      <c r="AC77" s="176"/>
    </row>
    <row r="78" spans="1:29" s="78" customFormat="1" x14ac:dyDescent="0.3">
      <c r="A78" s="169"/>
      <c r="B78" s="176"/>
      <c r="C78" s="176"/>
      <c r="D78" s="176"/>
      <c r="E78" s="176"/>
      <c r="F78" s="176"/>
      <c r="G78" s="176"/>
      <c r="H78" s="176"/>
      <c r="I78" s="176"/>
      <c r="J78" s="176"/>
      <c r="K78" s="176"/>
      <c r="L78" s="176"/>
      <c r="M78" s="176"/>
      <c r="N78" s="176"/>
      <c r="O78" s="176"/>
      <c r="P78" s="176"/>
      <c r="Q78" s="176"/>
      <c r="R78" s="176"/>
      <c r="S78" s="176"/>
      <c r="T78" s="176"/>
      <c r="U78" s="176"/>
      <c r="V78" s="176"/>
      <c r="W78" s="176"/>
      <c r="X78" s="176"/>
      <c r="Y78" s="176"/>
      <c r="Z78" s="176"/>
      <c r="AA78" s="176"/>
      <c r="AB78" s="176"/>
      <c r="AC78" s="176"/>
    </row>
    <row r="79" spans="1:29" s="78" customFormat="1" x14ac:dyDescent="0.3">
      <c r="A79" s="169"/>
      <c r="B79" s="176"/>
      <c r="C79" s="176"/>
      <c r="D79" s="176"/>
      <c r="E79" s="176"/>
      <c r="F79" s="176"/>
      <c r="G79" s="176"/>
      <c r="H79" s="176"/>
      <c r="I79" s="176"/>
      <c r="J79" s="176"/>
      <c r="K79" s="176"/>
      <c r="L79" s="176"/>
      <c r="M79" s="176"/>
      <c r="N79" s="176"/>
      <c r="O79" s="176"/>
      <c r="P79" s="176"/>
      <c r="Q79" s="176"/>
      <c r="R79" s="176"/>
      <c r="S79" s="176"/>
      <c r="T79" s="176"/>
      <c r="U79" s="176"/>
      <c r="V79" s="176"/>
      <c r="W79" s="176"/>
      <c r="X79" s="176"/>
      <c r="Y79" s="176"/>
      <c r="Z79" s="176"/>
      <c r="AA79" s="176"/>
      <c r="AB79" s="176"/>
      <c r="AC79" s="176"/>
    </row>
    <row r="80" spans="1:29" s="78" customFormat="1" x14ac:dyDescent="0.3">
      <c r="A80" s="169"/>
      <c r="B80" s="176"/>
      <c r="C80" s="176"/>
      <c r="D80" s="176"/>
      <c r="E80" s="176"/>
      <c r="F80" s="176"/>
      <c r="G80" s="176"/>
      <c r="H80" s="176"/>
      <c r="I80" s="176"/>
      <c r="J80" s="176"/>
      <c r="K80" s="176"/>
      <c r="L80" s="176"/>
      <c r="M80" s="176"/>
      <c r="N80" s="176"/>
      <c r="O80" s="176"/>
      <c r="P80" s="176"/>
      <c r="Q80" s="176"/>
      <c r="R80" s="176"/>
      <c r="S80" s="176"/>
      <c r="T80" s="176"/>
      <c r="U80" s="176"/>
      <c r="V80" s="176"/>
      <c r="W80" s="176"/>
      <c r="X80" s="176"/>
      <c r="Y80" s="176"/>
      <c r="Z80" s="176"/>
      <c r="AA80" s="176"/>
      <c r="AB80" s="176"/>
      <c r="AC80" s="176"/>
    </row>
    <row r="81" spans="1:29" s="78" customFormat="1" x14ac:dyDescent="0.3">
      <c r="A81" s="169"/>
      <c r="B81" s="176"/>
      <c r="C81" s="176"/>
      <c r="D81" s="176"/>
      <c r="E81" s="176"/>
      <c r="F81" s="176"/>
      <c r="G81" s="176"/>
      <c r="H81" s="176"/>
      <c r="I81" s="176"/>
      <c r="J81" s="176"/>
      <c r="K81" s="176"/>
      <c r="L81" s="176"/>
      <c r="M81" s="176"/>
      <c r="N81" s="176"/>
      <c r="O81" s="176"/>
      <c r="P81" s="176"/>
      <c r="Q81" s="176"/>
      <c r="R81" s="176"/>
      <c r="S81" s="176"/>
      <c r="T81" s="176"/>
      <c r="U81" s="176"/>
      <c r="V81" s="176"/>
      <c r="W81" s="176"/>
      <c r="X81" s="176"/>
      <c r="Y81" s="176"/>
      <c r="Z81" s="176"/>
      <c r="AA81" s="176"/>
      <c r="AB81" s="176"/>
      <c r="AC81" s="176"/>
    </row>
    <row r="82" spans="1:29" s="78" customFormat="1" x14ac:dyDescent="0.3">
      <c r="A82" s="169"/>
      <c r="B82" s="176"/>
      <c r="C82" s="176"/>
      <c r="D82" s="176"/>
      <c r="E82" s="176"/>
      <c r="F82" s="176"/>
      <c r="G82" s="176"/>
      <c r="H82" s="176"/>
      <c r="I82" s="176"/>
      <c r="J82" s="176"/>
      <c r="K82" s="176"/>
      <c r="L82" s="176"/>
      <c r="M82" s="176"/>
      <c r="N82" s="176"/>
      <c r="O82" s="176"/>
      <c r="P82" s="176"/>
      <c r="Q82" s="176"/>
      <c r="R82" s="176"/>
      <c r="S82" s="176"/>
      <c r="T82" s="176"/>
      <c r="U82" s="176"/>
      <c r="V82" s="176"/>
      <c r="W82" s="176"/>
      <c r="X82" s="176"/>
      <c r="Y82" s="176"/>
      <c r="Z82" s="176"/>
      <c r="AA82" s="176"/>
      <c r="AB82" s="176"/>
      <c r="AC82" s="176"/>
    </row>
    <row r="83" spans="1:29" s="78" customFormat="1" x14ac:dyDescent="0.3">
      <c r="A83" s="169"/>
      <c r="B83" s="176"/>
      <c r="C83" s="176"/>
      <c r="D83" s="176"/>
      <c r="E83" s="176"/>
      <c r="F83" s="176"/>
      <c r="G83" s="176"/>
      <c r="H83" s="176"/>
      <c r="I83" s="176"/>
      <c r="J83" s="176"/>
      <c r="K83" s="176"/>
      <c r="L83" s="176"/>
      <c r="M83" s="176"/>
      <c r="N83" s="176"/>
      <c r="O83" s="176"/>
      <c r="P83" s="176"/>
      <c r="Q83" s="176"/>
      <c r="R83" s="176"/>
      <c r="S83" s="176"/>
      <c r="T83" s="176"/>
      <c r="U83" s="176"/>
      <c r="V83" s="176"/>
      <c r="W83" s="176"/>
      <c r="X83" s="176"/>
      <c r="Y83" s="176"/>
      <c r="Z83" s="176"/>
      <c r="AA83" s="176"/>
      <c r="AB83" s="176"/>
      <c r="AC83" s="176"/>
    </row>
    <row r="84" spans="1:29" s="78" customFormat="1" x14ac:dyDescent="0.3">
      <c r="A84" s="169"/>
      <c r="B84" s="176"/>
      <c r="C84" s="176"/>
      <c r="D84" s="176"/>
      <c r="E84" s="176"/>
      <c r="F84" s="176"/>
      <c r="G84" s="176"/>
      <c r="H84" s="176"/>
      <c r="I84" s="176"/>
      <c r="J84" s="176"/>
      <c r="K84" s="176"/>
      <c r="L84" s="176"/>
      <c r="M84" s="176"/>
      <c r="N84" s="176"/>
      <c r="O84" s="176"/>
      <c r="P84" s="176"/>
      <c r="Q84" s="176"/>
      <c r="R84" s="176"/>
      <c r="S84" s="176"/>
      <c r="T84" s="176"/>
      <c r="U84" s="176"/>
      <c r="V84" s="176"/>
      <c r="W84" s="176"/>
      <c r="X84" s="176"/>
      <c r="Y84" s="176"/>
      <c r="Z84" s="176"/>
      <c r="AA84" s="176"/>
      <c r="AB84" s="176"/>
      <c r="AC84" s="176"/>
    </row>
    <row r="85" spans="1:29" s="78" customFormat="1" x14ac:dyDescent="0.3">
      <c r="A85" s="169"/>
      <c r="B85" s="176"/>
      <c r="C85" s="176"/>
      <c r="D85" s="176"/>
      <c r="E85" s="176"/>
      <c r="F85" s="176"/>
      <c r="G85" s="176"/>
      <c r="H85" s="176"/>
      <c r="I85" s="176"/>
      <c r="J85" s="176"/>
      <c r="K85" s="176"/>
      <c r="L85" s="176"/>
      <c r="M85" s="176"/>
      <c r="N85" s="176"/>
      <c r="O85" s="176"/>
      <c r="P85" s="176"/>
      <c r="Q85" s="176"/>
      <c r="R85" s="176"/>
      <c r="S85" s="176"/>
      <c r="T85" s="176"/>
      <c r="U85" s="176"/>
      <c r="V85" s="176"/>
      <c r="W85" s="176"/>
      <c r="X85" s="176"/>
      <c r="Y85" s="176"/>
      <c r="Z85" s="176"/>
      <c r="AA85" s="176"/>
      <c r="AB85" s="176"/>
      <c r="AC85" s="176"/>
    </row>
    <row r="86" spans="1:29" s="78" customFormat="1" x14ac:dyDescent="0.3">
      <c r="A86" s="169"/>
      <c r="B86" s="176"/>
      <c r="C86" s="176"/>
      <c r="D86" s="176"/>
      <c r="E86" s="176"/>
      <c r="F86" s="176"/>
      <c r="G86" s="176"/>
      <c r="H86" s="176"/>
      <c r="I86" s="176"/>
      <c r="J86" s="176"/>
      <c r="K86" s="176"/>
      <c r="L86" s="176"/>
      <c r="M86" s="176"/>
      <c r="N86" s="176"/>
      <c r="O86" s="176"/>
      <c r="P86" s="176"/>
      <c r="Q86" s="176"/>
      <c r="R86" s="176"/>
      <c r="S86" s="176"/>
      <c r="T86" s="176"/>
      <c r="U86" s="176"/>
      <c r="V86" s="176"/>
      <c r="W86" s="176"/>
      <c r="X86" s="176"/>
      <c r="Y86" s="176"/>
      <c r="Z86" s="176"/>
      <c r="AA86" s="176"/>
      <c r="AB86" s="176"/>
      <c r="AC86" s="176"/>
    </row>
    <row r="87" spans="1:29" s="78" customFormat="1" x14ac:dyDescent="0.3">
      <c r="A87" s="169"/>
      <c r="B87" s="176"/>
      <c r="C87" s="176"/>
      <c r="D87" s="176"/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6"/>
      <c r="Q87" s="176"/>
      <c r="R87" s="176"/>
      <c r="S87" s="176"/>
      <c r="T87" s="176"/>
      <c r="U87" s="176"/>
      <c r="V87" s="176"/>
      <c r="W87" s="176"/>
      <c r="X87" s="176"/>
      <c r="Y87" s="176"/>
      <c r="Z87" s="176"/>
      <c r="AA87" s="176"/>
      <c r="AB87" s="176"/>
      <c r="AC87" s="176"/>
    </row>
    <row r="88" spans="1:29" s="78" customFormat="1" x14ac:dyDescent="0.3">
      <c r="A88" s="169"/>
      <c r="B88" s="176"/>
      <c r="C88" s="176"/>
      <c r="D88" s="176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6"/>
      <c r="Q88" s="176"/>
      <c r="R88" s="176"/>
      <c r="S88" s="176"/>
      <c r="T88" s="176"/>
      <c r="U88" s="176"/>
      <c r="V88" s="176"/>
      <c r="W88" s="176"/>
      <c r="X88" s="176"/>
      <c r="Y88" s="176"/>
      <c r="Z88" s="176"/>
      <c r="AA88" s="176"/>
      <c r="AB88" s="176"/>
      <c r="AC88" s="176"/>
    </row>
    <row r="89" spans="1:29" s="12" customFormat="1" x14ac:dyDescent="0.3">
      <c r="A89" s="169"/>
      <c r="B89" s="169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69"/>
      <c r="Q89" s="169"/>
      <c r="R89" s="169"/>
      <c r="S89" s="169"/>
      <c r="T89" s="169"/>
      <c r="U89" s="169"/>
      <c r="V89" s="169"/>
      <c r="W89" s="169"/>
      <c r="X89" s="169"/>
      <c r="Y89" s="169"/>
      <c r="Z89" s="169"/>
      <c r="AA89" s="169"/>
      <c r="AB89" s="169"/>
      <c r="AC89" s="169"/>
    </row>
    <row r="90" spans="1:29" s="12" customFormat="1" x14ac:dyDescent="0.3">
      <c r="A90" s="169"/>
      <c r="B90" s="176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6"/>
      <c r="Q90" s="176"/>
      <c r="R90" s="176"/>
      <c r="S90" s="176"/>
      <c r="T90" s="176"/>
      <c r="U90" s="176"/>
      <c r="V90" s="176"/>
      <c r="W90" s="176"/>
      <c r="X90" s="176"/>
      <c r="Y90" s="176"/>
      <c r="Z90" s="176"/>
      <c r="AA90" s="176"/>
      <c r="AB90" s="176"/>
      <c r="AC90" s="176"/>
    </row>
    <row r="91" spans="1:29" s="12" customFormat="1" x14ac:dyDescent="0.3">
      <c r="A91" s="169"/>
      <c r="B91" s="176"/>
      <c r="C91" s="176"/>
      <c r="D91" s="176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6"/>
      <c r="Q91" s="176"/>
      <c r="R91" s="176"/>
      <c r="S91" s="176"/>
      <c r="T91" s="176"/>
      <c r="U91" s="176"/>
      <c r="V91" s="176"/>
      <c r="W91" s="176"/>
      <c r="X91" s="176"/>
      <c r="Y91" s="176"/>
      <c r="Z91" s="176"/>
      <c r="AA91" s="176"/>
      <c r="AB91" s="176"/>
      <c r="AC91" s="176"/>
    </row>
    <row r="92" spans="1:29" s="12" customFormat="1" x14ac:dyDescent="0.3">
      <c r="A92" s="169"/>
      <c r="B92" s="176"/>
      <c r="C92" s="176"/>
      <c r="D92" s="176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6"/>
      <c r="Q92" s="176"/>
      <c r="R92" s="176"/>
      <c r="S92" s="176"/>
      <c r="T92" s="176"/>
      <c r="U92" s="176"/>
      <c r="V92" s="176"/>
      <c r="W92" s="176"/>
      <c r="X92" s="176"/>
      <c r="Y92" s="176"/>
      <c r="Z92" s="176"/>
      <c r="AA92" s="176"/>
      <c r="AB92" s="176"/>
      <c r="AC92" s="176"/>
    </row>
    <row r="93" spans="1:29" s="12" customFormat="1" x14ac:dyDescent="0.3">
      <c r="A93" s="169"/>
      <c r="B93" s="176"/>
      <c r="C93" s="176"/>
      <c r="D93" s="176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6"/>
      <c r="Q93" s="176"/>
      <c r="R93" s="176"/>
      <c r="S93" s="176"/>
      <c r="T93" s="176"/>
      <c r="U93" s="176"/>
      <c r="V93" s="176"/>
      <c r="W93" s="176"/>
      <c r="X93" s="176"/>
      <c r="Y93" s="176"/>
      <c r="Z93" s="176"/>
      <c r="AA93" s="176"/>
      <c r="AB93" s="176"/>
      <c r="AC93" s="176"/>
    </row>
    <row r="94" spans="1:29" s="12" customFormat="1" x14ac:dyDescent="0.3">
      <c r="A94" s="169"/>
      <c r="B94" s="176"/>
      <c r="C94" s="176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6"/>
      <c r="Q94" s="176"/>
      <c r="R94" s="176"/>
      <c r="S94" s="176"/>
      <c r="T94" s="176"/>
      <c r="U94" s="176"/>
      <c r="V94" s="176"/>
      <c r="W94" s="176"/>
      <c r="X94" s="176"/>
      <c r="Y94" s="176"/>
      <c r="Z94" s="176"/>
      <c r="AA94" s="176"/>
      <c r="AB94" s="176"/>
      <c r="AC94" s="176"/>
    </row>
    <row r="95" spans="1:29" s="12" customFormat="1" x14ac:dyDescent="0.3">
      <c r="A95" s="169"/>
      <c r="B95" s="176"/>
      <c r="C95" s="176"/>
      <c r="D95" s="176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6"/>
      <c r="Q95" s="176"/>
      <c r="R95" s="176"/>
      <c r="S95" s="176"/>
      <c r="T95" s="176"/>
      <c r="U95" s="176"/>
      <c r="V95" s="176"/>
      <c r="W95" s="176"/>
      <c r="X95" s="176"/>
      <c r="Y95" s="176"/>
      <c r="Z95" s="176"/>
      <c r="AA95" s="176"/>
      <c r="AB95" s="176"/>
      <c r="AC95" s="176"/>
    </row>
    <row r="96" spans="1:29" s="12" customFormat="1" x14ac:dyDescent="0.3">
      <c r="A96" s="169"/>
      <c r="B96" s="176"/>
      <c r="C96" s="176"/>
      <c r="D96" s="176"/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6"/>
      <c r="Q96" s="176"/>
      <c r="R96" s="176"/>
      <c r="S96" s="176"/>
      <c r="T96" s="176"/>
      <c r="U96" s="176"/>
      <c r="V96" s="176"/>
      <c r="W96" s="176"/>
      <c r="X96" s="176"/>
      <c r="Y96" s="176"/>
      <c r="Z96" s="176"/>
      <c r="AA96" s="176"/>
      <c r="AB96" s="176"/>
      <c r="AC96" s="176"/>
    </row>
    <row r="97" spans="1:29" s="12" customFormat="1" x14ac:dyDescent="0.3">
      <c r="A97" s="169"/>
      <c r="B97" s="176"/>
      <c r="C97" s="176"/>
      <c r="D97" s="176"/>
      <c r="E97" s="176"/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176"/>
      <c r="Q97" s="176"/>
      <c r="R97" s="176"/>
      <c r="S97" s="176"/>
      <c r="T97" s="176"/>
      <c r="U97" s="176"/>
      <c r="V97" s="176"/>
      <c r="W97" s="176"/>
      <c r="X97" s="176"/>
      <c r="Y97" s="176"/>
      <c r="Z97" s="176"/>
      <c r="AA97" s="176"/>
      <c r="AB97" s="176"/>
      <c r="AC97" s="176"/>
    </row>
    <row r="98" spans="1:29" s="12" customFormat="1" x14ac:dyDescent="0.3">
      <c r="A98" s="169"/>
      <c r="B98" s="176"/>
      <c r="C98" s="176"/>
      <c r="D98" s="176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6"/>
      <c r="Q98" s="176"/>
      <c r="R98" s="176"/>
      <c r="S98" s="176"/>
      <c r="T98" s="176"/>
      <c r="U98" s="176"/>
      <c r="V98" s="176"/>
      <c r="W98" s="176"/>
      <c r="X98" s="176"/>
      <c r="Y98" s="176"/>
      <c r="Z98" s="176"/>
      <c r="AA98" s="176"/>
      <c r="AB98" s="176"/>
      <c r="AC98" s="176"/>
    </row>
    <row r="99" spans="1:29" s="12" customFormat="1" x14ac:dyDescent="0.3">
      <c r="A99" s="169"/>
      <c r="B99" s="176"/>
      <c r="C99" s="176"/>
      <c r="D99" s="176"/>
      <c r="E99" s="176"/>
      <c r="F99" s="176"/>
      <c r="G99" s="176"/>
      <c r="H99" s="176"/>
      <c r="I99" s="176"/>
      <c r="J99" s="176"/>
      <c r="K99" s="176"/>
      <c r="L99" s="176"/>
      <c r="M99" s="176"/>
      <c r="N99" s="176"/>
      <c r="O99" s="176"/>
      <c r="P99" s="176"/>
      <c r="Q99" s="176"/>
      <c r="R99" s="176"/>
      <c r="S99" s="176"/>
      <c r="T99" s="176"/>
      <c r="U99" s="176"/>
      <c r="V99" s="176"/>
      <c r="W99" s="176"/>
      <c r="X99" s="176"/>
      <c r="Y99" s="176"/>
      <c r="Z99" s="176"/>
      <c r="AA99" s="176"/>
      <c r="AB99" s="176"/>
      <c r="AC99" s="176"/>
    </row>
    <row r="100" spans="1:29" s="12" customFormat="1" x14ac:dyDescent="0.3">
      <c r="A100" s="169"/>
      <c r="B100" s="176"/>
      <c r="C100" s="176"/>
      <c r="D100" s="176"/>
      <c r="E100" s="176"/>
      <c r="F100" s="176"/>
      <c r="G100" s="176"/>
      <c r="H100" s="176"/>
      <c r="I100" s="176"/>
      <c r="J100" s="176"/>
      <c r="K100" s="176"/>
      <c r="L100" s="176"/>
      <c r="M100" s="176"/>
      <c r="N100" s="176"/>
      <c r="O100" s="176"/>
      <c r="P100" s="176"/>
      <c r="Q100" s="176"/>
      <c r="R100" s="176"/>
      <c r="S100" s="176"/>
      <c r="T100" s="176"/>
      <c r="U100" s="176"/>
      <c r="V100" s="176"/>
      <c r="W100" s="176"/>
      <c r="X100" s="176"/>
      <c r="Y100" s="176"/>
      <c r="Z100" s="176"/>
      <c r="AA100" s="176"/>
      <c r="AB100" s="176"/>
      <c r="AC100" s="176"/>
    </row>
    <row r="101" spans="1:29" s="12" customFormat="1" x14ac:dyDescent="0.3">
      <c r="A101" s="169"/>
      <c r="B101" s="176"/>
      <c r="C101" s="176"/>
      <c r="D101" s="176"/>
      <c r="E101" s="176"/>
      <c r="F101" s="176"/>
      <c r="G101" s="176"/>
      <c r="H101" s="176"/>
      <c r="I101" s="176"/>
      <c r="J101" s="176"/>
      <c r="K101" s="176"/>
      <c r="L101" s="176"/>
      <c r="M101" s="176"/>
      <c r="N101" s="176"/>
      <c r="O101" s="176"/>
      <c r="P101" s="176"/>
      <c r="Q101" s="176"/>
      <c r="R101" s="176"/>
      <c r="S101" s="176"/>
      <c r="T101" s="176"/>
      <c r="U101" s="176"/>
      <c r="V101" s="176"/>
      <c r="W101" s="176"/>
      <c r="X101" s="176"/>
      <c r="Y101" s="176"/>
      <c r="Z101" s="176"/>
      <c r="AA101" s="176"/>
      <c r="AB101" s="176"/>
      <c r="AC101" s="176"/>
    </row>
    <row r="102" spans="1:29" s="12" customFormat="1" x14ac:dyDescent="0.3">
      <c r="A102" s="169"/>
      <c r="B102" s="176"/>
      <c r="C102" s="176"/>
      <c r="D102" s="176"/>
      <c r="E102" s="176"/>
      <c r="F102" s="176"/>
      <c r="G102" s="176"/>
      <c r="H102" s="176"/>
      <c r="I102" s="176"/>
      <c r="J102" s="176"/>
      <c r="K102" s="176"/>
      <c r="L102" s="176"/>
      <c r="M102" s="176"/>
      <c r="N102" s="176"/>
      <c r="O102" s="176"/>
      <c r="P102" s="176"/>
      <c r="Q102" s="176"/>
      <c r="R102" s="176"/>
      <c r="S102" s="176"/>
      <c r="T102" s="176"/>
      <c r="U102" s="176"/>
      <c r="V102" s="176"/>
      <c r="W102" s="176"/>
      <c r="X102" s="176"/>
      <c r="Y102" s="176"/>
      <c r="Z102" s="176"/>
      <c r="AA102" s="176"/>
      <c r="AB102" s="176"/>
      <c r="AC102" s="176"/>
    </row>
    <row r="103" spans="1:29" s="12" customFormat="1" x14ac:dyDescent="0.3">
      <c r="A103" s="169"/>
      <c r="B103" s="176"/>
      <c r="C103" s="176"/>
      <c r="D103" s="176"/>
      <c r="E103" s="176"/>
      <c r="F103" s="176"/>
      <c r="G103" s="176"/>
      <c r="H103" s="176"/>
      <c r="I103" s="176"/>
      <c r="J103" s="176"/>
      <c r="K103" s="176"/>
      <c r="L103" s="176"/>
      <c r="M103" s="176"/>
      <c r="N103" s="176"/>
      <c r="O103" s="176"/>
      <c r="P103" s="176"/>
      <c r="Q103" s="176"/>
      <c r="R103" s="176"/>
      <c r="S103" s="176"/>
      <c r="T103" s="176"/>
      <c r="U103" s="176"/>
      <c r="V103" s="176"/>
      <c r="W103" s="176"/>
      <c r="X103" s="176"/>
      <c r="Y103" s="176"/>
      <c r="Z103" s="176"/>
      <c r="AA103" s="176"/>
      <c r="AB103" s="176"/>
      <c r="AC103" s="176"/>
    </row>
    <row r="104" spans="1:29" s="12" customFormat="1" x14ac:dyDescent="0.3">
      <c r="A104" s="169"/>
      <c r="B104" s="176"/>
      <c r="C104" s="176"/>
      <c r="D104" s="176"/>
      <c r="E104" s="176"/>
      <c r="F104" s="176"/>
      <c r="G104" s="176"/>
      <c r="H104" s="176"/>
      <c r="I104" s="176"/>
      <c r="J104" s="176"/>
      <c r="K104" s="176"/>
      <c r="L104" s="176"/>
      <c r="M104" s="176"/>
      <c r="N104" s="176"/>
      <c r="O104" s="176"/>
      <c r="P104" s="176"/>
      <c r="Q104" s="176"/>
      <c r="R104" s="176"/>
      <c r="S104" s="176"/>
      <c r="T104" s="176"/>
      <c r="U104" s="176"/>
      <c r="V104" s="176"/>
      <c r="W104" s="176"/>
      <c r="X104" s="176"/>
      <c r="Y104" s="176"/>
      <c r="Z104" s="176"/>
      <c r="AA104" s="176"/>
      <c r="AB104" s="176"/>
      <c r="AC104" s="176"/>
    </row>
    <row r="105" spans="1:29" s="12" customFormat="1" x14ac:dyDescent="0.3">
      <c r="A105" s="169"/>
      <c r="B105" s="176"/>
      <c r="C105" s="176"/>
      <c r="D105" s="176"/>
      <c r="E105" s="176"/>
      <c r="F105" s="176"/>
      <c r="G105" s="176"/>
      <c r="H105" s="176"/>
      <c r="I105" s="176"/>
      <c r="J105" s="176"/>
      <c r="K105" s="176"/>
      <c r="L105" s="176"/>
      <c r="M105" s="176"/>
      <c r="N105" s="176"/>
      <c r="O105" s="176"/>
      <c r="P105" s="176"/>
      <c r="Q105" s="176"/>
      <c r="R105" s="176"/>
      <c r="S105" s="176"/>
      <c r="T105" s="176"/>
      <c r="U105" s="176"/>
      <c r="V105" s="176"/>
      <c r="W105" s="176"/>
      <c r="X105" s="176"/>
      <c r="Y105" s="176"/>
      <c r="Z105" s="176"/>
      <c r="AA105" s="176"/>
      <c r="AB105" s="176"/>
      <c r="AC105" s="176"/>
    </row>
    <row r="106" spans="1:29" s="12" customFormat="1" x14ac:dyDescent="0.3">
      <c r="A106" s="169"/>
      <c r="B106" s="176"/>
      <c r="C106" s="176"/>
      <c r="D106" s="176"/>
      <c r="E106" s="176"/>
      <c r="F106" s="176"/>
      <c r="G106" s="176"/>
      <c r="H106" s="176"/>
      <c r="I106" s="176"/>
      <c r="J106" s="176"/>
      <c r="K106" s="176"/>
      <c r="L106" s="176"/>
      <c r="M106" s="176"/>
      <c r="N106" s="176"/>
      <c r="O106" s="176"/>
      <c r="P106" s="176"/>
      <c r="Q106" s="176"/>
      <c r="R106" s="176"/>
      <c r="S106" s="176"/>
      <c r="T106" s="176"/>
      <c r="U106" s="176"/>
      <c r="V106" s="176"/>
      <c r="W106" s="176"/>
      <c r="X106" s="176"/>
      <c r="Y106" s="176"/>
      <c r="Z106" s="176"/>
      <c r="AA106" s="176"/>
      <c r="AB106" s="176"/>
      <c r="AC106" s="176"/>
    </row>
    <row r="107" spans="1:29" s="12" customFormat="1" x14ac:dyDescent="0.3">
      <c r="A107" s="169"/>
      <c r="B107" s="176"/>
      <c r="C107" s="176"/>
      <c r="D107" s="176"/>
      <c r="E107" s="176"/>
      <c r="F107" s="176"/>
      <c r="G107" s="176"/>
      <c r="H107" s="176"/>
      <c r="I107" s="176"/>
      <c r="J107" s="176"/>
      <c r="K107" s="176"/>
      <c r="L107" s="176"/>
      <c r="M107" s="176"/>
      <c r="N107" s="176"/>
      <c r="O107" s="176"/>
      <c r="P107" s="176"/>
      <c r="Q107" s="176"/>
      <c r="R107" s="176"/>
      <c r="S107" s="176"/>
      <c r="T107" s="176"/>
      <c r="U107" s="176"/>
      <c r="V107" s="176"/>
      <c r="W107" s="176"/>
      <c r="X107" s="176"/>
      <c r="Y107" s="176"/>
      <c r="Z107" s="176"/>
      <c r="AA107" s="176"/>
      <c r="AB107" s="176"/>
      <c r="AC107" s="176"/>
    </row>
    <row r="108" spans="1:29" s="12" customFormat="1" x14ac:dyDescent="0.3">
      <c r="A108" s="169"/>
      <c r="B108" s="176"/>
      <c r="C108" s="176"/>
      <c r="D108" s="176"/>
      <c r="E108" s="176"/>
      <c r="F108" s="176"/>
      <c r="G108" s="176"/>
      <c r="H108" s="176"/>
      <c r="I108" s="176"/>
      <c r="J108" s="176"/>
      <c r="K108" s="176"/>
      <c r="L108" s="176"/>
      <c r="M108" s="176"/>
      <c r="N108" s="176"/>
      <c r="O108" s="176"/>
      <c r="P108" s="176"/>
      <c r="Q108" s="176"/>
      <c r="R108" s="176"/>
      <c r="S108" s="176"/>
      <c r="T108" s="176"/>
      <c r="U108" s="176"/>
      <c r="V108" s="176"/>
      <c r="W108" s="176"/>
      <c r="X108" s="176"/>
      <c r="Y108" s="176"/>
      <c r="Z108" s="176"/>
      <c r="AA108" s="176"/>
      <c r="AB108" s="176"/>
      <c r="AC108" s="176"/>
    </row>
    <row r="109" spans="1:29" s="12" customFormat="1" x14ac:dyDescent="0.3">
      <c r="A109" s="169"/>
      <c r="B109" s="176"/>
      <c r="C109" s="176"/>
      <c r="D109" s="176"/>
      <c r="E109" s="176"/>
      <c r="F109" s="176"/>
      <c r="G109" s="176"/>
      <c r="H109" s="176"/>
      <c r="I109" s="176"/>
      <c r="J109" s="176"/>
      <c r="K109" s="176"/>
      <c r="L109" s="176"/>
      <c r="M109" s="176"/>
      <c r="N109" s="176"/>
      <c r="O109" s="176"/>
      <c r="P109" s="176"/>
      <c r="Q109" s="176"/>
      <c r="R109" s="176"/>
      <c r="S109" s="176"/>
      <c r="T109" s="176"/>
      <c r="U109" s="176"/>
      <c r="V109" s="176"/>
      <c r="W109" s="176"/>
      <c r="X109" s="176"/>
      <c r="Y109" s="176"/>
      <c r="Z109" s="176"/>
      <c r="AA109" s="176"/>
      <c r="AB109" s="176"/>
      <c r="AC109" s="176"/>
    </row>
    <row r="110" spans="1:29" s="12" customFormat="1" x14ac:dyDescent="0.3">
      <c r="A110" s="169"/>
      <c r="B110" s="176"/>
      <c r="C110" s="176"/>
      <c r="D110" s="176"/>
      <c r="E110" s="176"/>
      <c r="F110" s="176"/>
      <c r="G110" s="176"/>
      <c r="H110" s="176"/>
      <c r="I110" s="176"/>
      <c r="J110" s="176"/>
      <c r="K110" s="176"/>
      <c r="L110" s="176"/>
      <c r="M110" s="176"/>
      <c r="N110" s="176"/>
      <c r="O110" s="176"/>
      <c r="P110" s="176"/>
      <c r="Q110" s="176"/>
      <c r="R110" s="176"/>
      <c r="S110" s="176"/>
      <c r="T110" s="176"/>
      <c r="U110" s="176"/>
      <c r="V110" s="176"/>
      <c r="W110" s="176"/>
      <c r="X110" s="176"/>
      <c r="Y110" s="176"/>
      <c r="Z110" s="176"/>
      <c r="AA110" s="176"/>
      <c r="AB110" s="176"/>
      <c r="AC110" s="176"/>
    </row>
    <row r="111" spans="1:29" s="12" customFormat="1" x14ac:dyDescent="0.3">
      <c r="A111" s="169"/>
      <c r="B111" s="176"/>
      <c r="C111" s="176"/>
      <c r="D111" s="176"/>
      <c r="E111" s="176"/>
      <c r="F111" s="176"/>
      <c r="G111" s="176"/>
      <c r="H111" s="176"/>
      <c r="I111" s="176"/>
      <c r="J111" s="176"/>
      <c r="K111" s="176"/>
      <c r="L111" s="176"/>
      <c r="M111" s="176"/>
      <c r="N111" s="176"/>
      <c r="O111" s="176"/>
      <c r="P111" s="176"/>
      <c r="Q111" s="176"/>
      <c r="R111" s="176"/>
      <c r="S111" s="176"/>
      <c r="T111" s="176"/>
      <c r="U111" s="176"/>
      <c r="V111" s="176"/>
      <c r="W111" s="176"/>
      <c r="X111" s="176"/>
      <c r="Y111" s="176"/>
      <c r="Z111" s="176"/>
      <c r="AA111" s="176"/>
      <c r="AB111" s="176"/>
      <c r="AC111" s="176"/>
    </row>
    <row r="112" spans="1:29" s="12" customFormat="1" x14ac:dyDescent="0.3">
      <c r="A112" s="169"/>
      <c r="B112" s="176"/>
      <c r="C112" s="176"/>
      <c r="D112" s="176"/>
      <c r="E112" s="176"/>
      <c r="F112" s="176"/>
      <c r="G112" s="176"/>
      <c r="H112" s="176"/>
      <c r="I112" s="176"/>
      <c r="J112" s="176"/>
      <c r="K112" s="176"/>
      <c r="L112" s="176"/>
      <c r="M112" s="176"/>
      <c r="N112" s="176"/>
      <c r="O112" s="176"/>
      <c r="P112" s="176"/>
      <c r="Q112" s="176"/>
      <c r="R112" s="176"/>
      <c r="S112" s="176"/>
      <c r="T112" s="176"/>
      <c r="U112" s="176"/>
      <c r="V112" s="176"/>
      <c r="W112" s="176"/>
      <c r="X112" s="176"/>
      <c r="Y112" s="176"/>
      <c r="Z112" s="176"/>
      <c r="AA112" s="176"/>
      <c r="AB112" s="176"/>
      <c r="AC112" s="176"/>
    </row>
    <row r="113" spans="1:29" s="12" customFormat="1" x14ac:dyDescent="0.3">
      <c r="A113" s="169"/>
      <c r="B113" s="176"/>
      <c r="C113" s="176"/>
      <c r="D113" s="176"/>
      <c r="E113" s="176"/>
      <c r="F113" s="176"/>
      <c r="G113" s="176"/>
      <c r="H113" s="176"/>
      <c r="I113" s="176"/>
      <c r="J113" s="176"/>
      <c r="K113" s="176"/>
      <c r="L113" s="176"/>
      <c r="M113" s="176"/>
      <c r="N113" s="176"/>
      <c r="O113" s="176"/>
      <c r="P113" s="176"/>
      <c r="Q113" s="176"/>
      <c r="R113" s="176"/>
      <c r="S113" s="176"/>
      <c r="T113" s="176"/>
      <c r="U113" s="176"/>
      <c r="V113" s="176"/>
      <c r="W113" s="176"/>
      <c r="X113" s="176"/>
      <c r="Y113" s="176"/>
      <c r="Z113" s="176"/>
      <c r="AA113" s="176"/>
      <c r="AB113" s="176"/>
      <c r="AC113" s="176"/>
    </row>
    <row r="114" spans="1:29" s="12" customFormat="1" x14ac:dyDescent="0.3">
      <c r="A114" s="169"/>
      <c r="B114" s="176"/>
      <c r="C114" s="176"/>
      <c r="D114" s="176"/>
      <c r="E114" s="176"/>
      <c r="F114" s="176"/>
      <c r="G114" s="176"/>
      <c r="H114" s="176"/>
      <c r="I114" s="176"/>
      <c r="J114" s="176"/>
      <c r="K114" s="176"/>
      <c r="L114" s="176"/>
      <c r="M114" s="176"/>
      <c r="N114" s="176"/>
      <c r="O114" s="176"/>
      <c r="P114" s="176"/>
      <c r="Q114" s="176"/>
      <c r="R114" s="176"/>
      <c r="S114" s="176"/>
      <c r="T114" s="176"/>
      <c r="U114" s="176"/>
      <c r="V114" s="176"/>
      <c r="W114" s="176"/>
      <c r="X114" s="176"/>
      <c r="Y114" s="176"/>
      <c r="Z114" s="176"/>
      <c r="AA114" s="176"/>
      <c r="AB114" s="176"/>
      <c r="AC114" s="176"/>
    </row>
    <row r="115" spans="1:29" s="12" customFormat="1" x14ac:dyDescent="0.3">
      <c r="A115" s="169"/>
      <c r="B115" s="176"/>
      <c r="C115" s="176"/>
      <c r="D115" s="176"/>
      <c r="E115" s="176"/>
      <c r="F115" s="176"/>
      <c r="G115" s="176"/>
      <c r="H115" s="176"/>
      <c r="I115" s="176"/>
      <c r="J115" s="176"/>
      <c r="K115" s="176"/>
      <c r="L115" s="176"/>
      <c r="M115" s="176"/>
      <c r="N115" s="176"/>
      <c r="O115" s="176"/>
      <c r="P115" s="176"/>
      <c r="Q115" s="176"/>
      <c r="R115" s="176"/>
      <c r="S115" s="176"/>
      <c r="T115" s="176"/>
      <c r="U115" s="176"/>
      <c r="V115" s="176"/>
      <c r="W115" s="176"/>
      <c r="X115" s="176"/>
      <c r="Y115" s="176"/>
      <c r="Z115" s="176"/>
      <c r="AA115" s="176"/>
      <c r="AB115" s="176"/>
      <c r="AC115" s="176"/>
    </row>
    <row r="116" spans="1:29" s="12" customFormat="1" x14ac:dyDescent="0.3">
      <c r="A116" s="169"/>
      <c r="B116" s="176"/>
      <c r="C116" s="176"/>
      <c r="D116" s="176"/>
      <c r="E116" s="176"/>
      <c r="F116" s="176"/>
      <c r="G116" s="176"/>
      <c r="H116" s="176"/>
      <c r="I116" s="176"/>
      <c r="J116" s="176"/>
      <c r="K116" s="176"/>
      <c r="L116" s="176"/>
      <c r="M116" s="176"/>
      <c r="N116" s="176"/>
      <c r="O116" s="176"/>
      <c r="P116" s="176"/>
      <c r="Q116" s="176"/>
      <c r="R116" s="176"/>
      <c r="S116" s="176"/>
      <c r="T116" s="176"/>
      <c r="U116" s="176"/>
      <c r="V116" s="176"/>
      <c r="W116" s="176"/>
      <c r="X116" s="176"/>
      <c r="Y116" s="176"/>
      <c r="Z116" s="176"/>
      <c r="AA116" s="176"/>
      <c r="AB116" s="176"/>
      <c r="AC116" s="176"/>
    </row>
    <row r="117" spans="1:29" s="12" customFormat="1" x14ac:dyDescent="0.3">
      <c r="A117" s="169"/>
      <c r="B117" s="176"/>
      <c r="C117" s="176"/>
      <c r="D117" s="176"/>
      <c r="E117" s="176"/>
      <c r="F117" s="176"/>
      <c r="G117" s="176"/>
      <c r="H117" s="176"/>
      <c r="I117" s="176"/>
      <c r="J117" s="176"/>
      <c r="K117" s="176"/>
      <c r="L117" s="176"/>
      <c r="M117" s="176"/>
      <c r="N117" s="176"/>
      <c r="O117" s="176"/>
      <c r="P117" s="176"/>
      <c r="Q117" s="176"/>
      <c r="R117" s="176"/>
      <c r="S117" s="176"/>
      <c r="T117" s="176"/>
      <c r="U117" s="176"/>
      <c r="V117" s="176"/>
      <c r="W117" s="176"/>
      <c r="X117" s="176"/>
      <c r="Y117" s="176"/>
      <c r="Z117" s="176"/>
      <c r="AA117" s="176"/>
      <c r="AB117" s="176"/>
      <c r="AC117" s="176"/>
    </row>
    <row r="118" spans="1:29" s="12" customFormat="1" x14ac:dyDescent="0.3">
      <c r="A118" s="169"/>
      <c r="B118" s="176"/>
      <c r="C118" s="176"/>
      <c r="D118" s="176"/>
      <c r="E118" s="176"/>
      <c r="F118" s="176"/>
      <c r="G118" s="176"/>
      <c r="H118" s="176"/>
      <c r="I118" s="176"/>
      <c r="J118" s="176"/>
      <c r="K118" s="176"/>
      <c r="L118" s="176"/>
      <c r="M118" s="176"/>
      <c r="N118" s="176"/>
      <c r="O118" s="176"/>
      <c r="P118" s="176"/>
      <c r="Q118" s="176"/>
      <c r="R118" s="176"/>
      <c r="S118" s="176"/>
      <c r="T118" s="176"/>
      <c r="U118" s="176"/>
      <c r="V118" s="176"/>
      <c r="W118" s="176"/>
      <c r="X118" s="176"/>
      <c r="Y118" s="176"/>
      <c r="Z118" s="176"/>
      <c r="AA118" s="176"/>
      <c r="AB118" s="176"/>
      <c r="AC118" s="176"/>
    </row>
    <row r="119" spans="1:29" s="12" customFormat="1" x14ac:dyDescent="0.3">
      <c r="A119" s="169"/>
      <c r="B119" s="176"/>
      <c r="C119" s="176"/>
      <c r="D119" s="176"/>
      <c r="E119" s="176"/>
      <c r="F119" s="176"/>
      <c r="G119" s="176"/>
      <c r="H119" s="176"/>
      <c r="I119" s="176"/>
      <c r="J119" s="176"/>
      <c r="K119" s="176"/>
      <c r="L119" s="176"/>
      <c r="M119" s="176"/>
      <c r="N119" s="176"/>
      <c r="O119" s="176"/>
      <c r="P119" s="176"/>
      <c r="Q119" s="176"/>
      <c r="R119" s="176"/>
      <c r="S119" s="176"/>
      <c r="T119" s="176"/>
      <c r="U119" s="176"/>
      <c r="V119" s="176"/>
      <c r="W119" s="176"/>
      <c r="X119" s="176"/>
      <c r="Y119" s="176"/>
      <c r="Z119" s="176"/>
      <c r="AA119" s="176"/>
      <c r="AB119" s="176"/>
      <c r="AC119" s="176"/>
    </row>
    <row r="120" spans="1:29" s="12" customFormat="1" x14ac:dyDescent="0.3">
      <c r="A120" s="169"/>
      <c r="B120" s="176"/>
      <c r="C120" s="176"/>
      <c r="D120" s="176"/>
      <c r="E120" s="176"/>
      <c r="F120" s="176"/>
      <c r="G120" s="176"/>
      <c r="H120" s="176"/>
      <c r="I120" s="176"/>
      <c r="J120" s="176"/>
      <c r="K120" s="176"/>
      <c r="L120" s="176"/>
      <c r="M120" s="176"/>
      <c r="N120" s="176"/>
      <c r="O120" s="176"/>
      <c r="P120" s="176"/>
      <c r="Q120" s="176"/>
      <c r="R120" s="176"/>
      <c r="S120" s="176"/>
      <c r="T120" s="176"/>
      <c r="U120" s="176"/>
      <c r="V120" s="176"/>
      <c r="W120" s="176"/>
      <c r="X120" s="176"/>
      <c r="Y120" s="176"/>
      <c r="Z120" s="176"/>
      <c r="AA120" s="176"/>
      <c r="AB120" s="176"/>
      <c r="AC120" s="176"/>
    </row>
    <row r="121" spans="1:29" s="12" customFormat="1" x14ac:dyDescent="0.3">
      <c r="A121" s="169"/>
      <c r="B121" s="176"/>
      <c r="C121" s="176"/>
      <c r="D121" s="176"/>
      <c r="E121" s="176"/>
      <c r="F121" s="176"/>
      <c r="G121" s="176"/>
      <c r="H121" s="176"/>
      <c r="I121" s="176"/>
      <c r="J121" s="176"/>
      <c r="K121" s="176"/>
      <c r="L121" s="176"/>
      <c r="M121" s="176"/>
      <c r="N121" s="176"/>
      <c r="O121" s="176"/>
      <c r="P121" s="176"/>
      <c r="Q121" s="176"/>
      <c r="R121" s="176"/>
      <c r="S121" s="176"/>
      <c r="T121" s="176"/>
      <c r="U121" s="176"/>
      <c r="V121" s="176"/>
      <c r="W121" s="176"/>
      <c r="X121" s="176"/>
      <c r="Y121" s="176"/>
      <c r="Z121" s="176"/>
      <c r="AA121" s="176"/>
      <c r="AB121" s="176"/>
      <c r="AC121" s="176"/>
    </row>
    <row r="122" spans="1:29" s="12" customFormat="1" x14ac:dyDescent="0.3">
      <c r="A122" s="169"/>
      <c r="B122" s="176"/>
      <c r="C122" s="176"/>
      <c r="D122" s="176"/>
      <c r="E122" s="176"/>
      <c r="F122" s="176"/>
      <c r="G122" s="176"/>
      <c r="H122" s="176"/>
      <c r="I122" s="176"/>
      <c r="J122" s="176"/>
      <c r="K122" s="176"/>
      <c r="L122" s="176"/>
      <c r="M122" s="176"/>
      <c r="N122" s="176"/>
      <c r="O122" s="176"/>
      <c r="P122" s="176"/>
      <c r="Q122" s="176"/>
      <c r="R122" s="176"/>
      <c r="S122" s="176"/>
      <c r="T122" s="176"/>
      <c r="U122" s="176"/>
      <c r="V122" s="176"/>
      <c r="W122" s="176"/>
      <c r="X122" s="176"/>
      <c r="Y122" s="176"/>
      <c r="Z122" s="176"/>
      <c r="AA122" s="176"/>
      <c r="AB122" s="176"/>
      <c r="AC122" s="176"/>
    </row>
    <row r="123" spans="1:29" s="12" customFormat="1" x14ac:dyDescent="0.3">
      <c r="A123" s="169"/>
      <c r="B123" s="176"/>
      <c r="C123" s="176"/>
      <c r="D123" s="176"/>
      <c r="E123" s="176"/>
      <c r="F123" s="176"/>
      <c r="G123" s="176"/>
      <c r="H123" s="176"/>
      <c r="I123" s="176"/>
      <c r="J123" s="176"/>
      <c r="K123" s="176"/>
      <c r="L123" s="176"/>
      <c r="M123" s="176"/>
      <c r="N123" s="176"/>
      <c r="O123" s="176"/>
      <c r="P123" s="176"/>
      <c r="Q123" s="176"/>
      <c r="R123" s="176"/>
      <c r="S123" s="176"/>
      <c r="T123" s="176"/>
      <c r="U123" s="176"/>
      <c r="V123" s="176"/>
      <c r="W123" s="176"/>
      <c r="X123" s="176"/>
      <c r="Y123" s="176"/>
      <c r="Z123" s="176"/>
      <c r="AA123" s="176"/>
      <c r="AB123" s="176"/>
      <c r="AC123" s="176"/>
    </row>
    <row r="124" spans="1:29" s="12" customFormat="1" x14ac:dyDescent="0.3">
      <c r="A124" s="169"/>
      <c r="B124" s="176"/>
      <c r="C124" s="176"/>
      <c r="D124" s="176"/>
      <c r="E124" s="176"/>
      <c r="F124" s="176"/>
      <c r="G124" s="176"/>
      <c r="H124" s="176"/>
      <c r="I124" s="176"/>
      <c r="J124" s="176"/>
      <c r="K124" s="176"/>
      <c r="L124" s="176"/>
      <c r="M124" s="176"/>
      <c r="N124" s="176"/>
      <c r="O124" s="176"/>
      <c r="P124" s="176"/>
      <c r="Q124" s="176"/>
      <c r="R124" s="176"/>
      <c r="S124" s="176"/>
      <c r="T124" s="176"/>
      <c r="U124" s="176"/>
      <c r="V124" s="176"/>
      <c r="W124" s="176"/>
      <c r="X124" s="176"/>
      <c r="Y124" s="176"/>
      <c r="Z124" s="176"/>
      <c r="AA124" s="176"/>
      <c r="AB124" s="176"/>
      <c r="AC124" s="176"/>
    </row>
    <row r="125" spans="1:29" s="12" customFormat="1" x14ac:dyDescent="0.3">
      <c r="A125" s="169"/>
      <c r="B125" s="176"/>
      <c r="C125" s="176"/>
      <c r="D125" s="176"/>
      <c r="E125" s="176"/>
      <c r="F125" s="176"/>
      <c r="G125" s="176"/>
      <c r="H125" s="176"/>
      <c r="I125" s="176"/>
      <c r="J125" s="176"/>
      <c r="K125" s="176"/>
      <c r="L125" s="176"/>
      <c r="M125" s="176"/>
      <c r="N125" s="176"/>
      <c r="O125" s="176"/>
      <c r="P125" s="176"/>
      <c r="Q125" s="176"/>
      <c r="R125" s="176"/>
      <c r="S125" s="176"/>
      <c r="T125" s="176"/>
      <c r="U125" s="176"/>
      <c r="V125" s="176"/>
      <c r="W125" s="176"/>
      <c r="X125" s="176"/>
      <c r="Y125" s="176"/>
      <c r="Z125" s="176"/>
      <c r="AA125" s="176"/>
      <c r="AB125" s="176"/>
      <c r="AC125" s="176"/>
    </row>
    <row r="126" spans="1:29" s="12" customFormat="1" x14ac:dyDescent="0.3">
      <c r="A126" s="169"/>
      <c r="B126" s="176"/>
      <c r="C126" s="176"/>
      <c r="D126" s="176"/>
      <c r="E126" s="176"/>
      <c r="F126" s="176"/>
      <c r="G126" s="176"/>
      <c r="H126" s="176"/>
      <c r="I126" s="176"/>
      <c r="J126" s="176"/>
      <c r="K126" s="176"/>
      <c r="L126" s="176"/>
      <c r="M126" s="176"/>
      <c r="N126" s="176"/>
      <c r="O126" s="176"/>
      <c r="P126" s="176"/>
      <c r="Q126" s="176"/>
      <c r="R126" s="176"/>
      <c r="S126" s="176"/>
      <c r="T126" s="176"/>
      <c r="U126" s="176"/>
      <c r="V126" s="176"/>
      <c r="W126" s="176"/>
      <c r="X126" s="176"/>
      <c r="Y126" s="176"/>
      <c r="Z126" s="176"/>
      <c r="AA126" s="176"/>
      <c r="AB126" s="176"/>
      <c r="AC126" s="176"/>
    </row>
    <row r="127" spans="1:29" s="12" customFormat="1" x14ac:dyDescent="0.3">
      <c r="A127" s="169"/>
      <c r="B127" s="176"/>
      <c r="C127" s="176"/>
      <c r="D127" s="176"/>
      <c r="E127" s="176"/>
      <c r="F127" s="176"/>
      <c r="G127" s="176"/>
      <c r="H127" s="176"/>
      <c r="I127" s="176"/>
      <c r="J127" s="176"/>
      <c r="K127" s="176"/>
      <c r="L127" s="176"/>
      <c r="M127" s="176"/>
      <c r="N127" s="176"/>
      <c r="O127" s="176"/>
      <c r="P127" s="176"/>
      <c r="Q127" s="176"/>
      <c r="R127" s="176"/>
      <c r="S127" s="176"/>
      <c r="T127" s="176"/>
      <c r="U127" s="176"/>
      <c r="V127" s="176"/>
      <c r="W127" s="176"/>
      <c r="X127" s="176"/>
      <c r="Y127" s="176"/>
      <c r="Z127" s="176"/>
      <c r="AA127" s="176"/>
      <c r="AB127" s="176"/>
      <c r="AC127" s="176"/>
    </row>
    <row r="128" spans="1:29" s="12" customFormat="1" x14ac:dyDescent="0.3">
      <c r="A128" s="169"/>
      <c r="B128" s="176"/>
      <c r="C128" s="176"/>
      <c r="D128" s="176"/>
      <c r="E128" s="176"/>
      <c r="F128" s="176"/>
      <c r="G128" s="176"/>
      <c r="H128" s="176"/>
      <c r="I128" s="176"/>
      <c r="J128" s="176"/>
      <c r="K128" s="176"/>
      <c r="L128" s="176"/>
      <c r="M128" s="176"/>
      <c r="N128" s="176"/>
      <c r="O128" s="176"/>
      <c r="P128" s="176"/>
      <c r="Q128" s="176"/>
      <c r="R128" s="176"/>
      <c r="S128" s="176"/>
      <c r="T128" s="176"/>
      <c r="U128" s="176"/>
      <c r="V128" s="176"/>
      <c r="W128" s="176"/>
      <c r="X128" s="176"/>
      <c r="Y128" s="176"/>
      <c r="Z128" s="176"/>
      <c r="AA128" s="176"/>
      <c r="AB128" s="176"/>
      <c r="AC128" s="176"/>
    </row>
    <row r="129" spans="1:29" s="12" customFormat="1" x14ac:dyDescent="0.3">
      <c r="A129" s="169"/>
      <c r="B129" s="176"/>
      <c r="C129" s="176"/>
      <c r="D129" s="176"/>
      <c r="E129" s="176"/>
      <c r="F129" s="176"/>
      <c r="G129" s="176"/>
      <c r="H129" s="176"/>
      <c r="I129" s="176"/>
      <c r="J129" s="176"/>
      <c r="K129" s="176"/>
      <c r="L129" s="176"/>
      <c r="M129" s="176"/>
      <c r="N129" s="176"/>
      <c r="O129" s="176"/>
      <c r="P129" s="176"/>
      <c r="Q129" s="176"/>
      <c r="R129" s="176"/>
      <c r="S129" s="176"/>
      <c r="T129" s="176"/>
      <c r="U129" s="176"/>
      <c r="V129" s="176"/>
      <c r="W129" s="176"/>
      <c r="X129" s="176"/>
      <c r="Y129" s="176"/>
      <c r="Z129" s="176"/>
      <c r="AA129" s="176"/>
      <c r="AB129" s="176"/>
      <c r="AC129" s="176"/>
    </row>
    <row r="130" spans="1:29" s="12" customFormat="1" x14ac:dyDescent="0.3">
      <c r="A130" s="169"/>
      <c r="B130" s="176"/>
      <c r="C130" s="176"/>
      <c r="D130" s="176"/>
      <c r="E130" s="176"/>
      <c r="F130" s="176"/>
      <c r="G130" s="176"/>
      <c r="H130" s="176"/>
      <c r="I130" s="176"/>
      <c r="J130" s="176"/>
      <c r="K130" s="176"/>
      <c r="L130" s="176"/>
      <c r="M130" s="176"/>
      <c r="N130" s="176"/>
      <c r="O130" s="176"/>
      <c r="P130" s="176"/>
      <c r="Q130" s="176"/>
      <c r="R130" s="176"/>
      <c r="S130" s="176"/>
      <c r="T130" s="176"/>
      <c r="U130" s="176"/>
      <c r="V130" s="176"/>
      <c r="W130" s="176"/>
      <c r="X130" s="176"/>
      <c r="Y130" s="176"/>
      <c r="Z130" s="176"/>
      <c r="AA130" s="176"/>
      <c r="AB130" s="176"/>
      <c r="AC130" s="176"/>
    </row>
    <row r="131" spans="1:29" s="12" customFormat="1" x14ac:dyDescent="0.3">
      <c r="A131" s="169"/>
      <c r="B131" s="176"/>
      <c r="C131" s="176"/>
      <c r="D131" s="176"/>
      <c r="E131" s="176"/>
      <c r="F131" s="176"/>
      <c r="G131" s="176"/>
      <c r="H131" s="176"/>
      <c r="I131" s="176"/>
      <c r="J131" s="176"/>
      <c r="K131" s="176"/>
      <c r="L131" s="176"/>
      <c r="M131" s="176"/>
      <c r="N131" s="176"/>
      <c r="O131" s="176"/>
      <c r="P131" s="176"/>
      <c r="Q131" s="176"/>
      <c r="R131" s="176"/>
      <c r="S131" s="176"/>
      <c r="T131" s="176"/>
      <c r="U131" s="176"/>
      <c r="V131" s="176"/>
      <c r="W131" s="176"/>
      <c r="X131" s="176"/>
      <c r="Y131" s="176"/>
      <c r="Z131" s="176"/>
      <c r="AA131" s="176"/>
      <c r="AB131" s="176"/>
      <c r="AC131" s="176"/>
    </row>
    <row r="132" spans="1:29" s="12" customFormat="1" x14ac:dyDescent="0.3">
      <c r="A132" s="169"/>
      <c r="B132" s="176"/>
      <c r="C132" s="176"/>
      <c r="D132" s="176"/>
      <c r="E132" s="176"/>
      <c r="F132" s="176"/>
      <c r="G132" s="176"/>
      <c r="H132" s="176"/>
      <c r="I132" s="176"/>
      <c r="J132" s="176"/>
      <c r="K132" s="176"/>
      <c r="L132" s="176"/>
      <c r="M132" s="176"/>
      <c r="N132" s="176"/>
      <c r="O132" s="176"/>
      <c r="P132" s="176"/>
      <c r="Q132" s="176"/>
      <c r="R132" s="176"/>
      <c r="S132" s="176"/>
      <c r="T132" s="176"/>
      <c r="U132" s="176"/>
      <c r="V132" s="176"/>
      <c r="W132" s="176"/>
      <c r="X132" s="176"/>
      <c r="Y132" s="176"/>
      <c r="Z132" s="176"/>
      <c r="AA132" s="176"/>
      <c r="AB132" s="176"/>
      <c r="AC132" s="176"/>
    </row>
    <row r="133" spans="1:29" s="12" customFormat="1" x14ac:dyDescent="0.3">
      <c r="A133" s="169"/>
      <c r="B133" s="176"/>
      <c r="C133" s="176"/>
      <c r="D133" s="176"/>
      <c r="E133" s="176"/>
      <c r="F133" s="176"/>
      <c r="G133" s="176"/>
      <c r="H133" s="176"/>
      <c r="I133" s="176"/>
      <c r="J133" s="176"/>
      <c r="K133" s="176"/>
      <c r="L133" s="176"/>
      <c r="M133" s="176"/>
      <c r="N133" s="176"/>
      <c r="O133" s="176"/>
      <c r="P133" s="176"/>
      <c r="Q133" s="176"/>
      <c r="R133" s="176"/>
      <c r="S133" s="176"/>
      <c r="T133" s="176"/>
      <c r="U133" s="176"/>
      <c r="V133" s="176"/>
      <c r="W133" s="176"/>
      <c r="X133" s="176"/>
      <c r="Y133" s="176"/>
      <c r="Z133" s="176"/>
      <c r="AA133" s="176"/>
      <c r="AB133" s="176"/>
      <c r="AC133" s="176"/>
    </row>
    <row r="134" spans="1:29" s="12" customFormat="1" x14ac:dyDescent="0.3">
      <c r="A134" s="169"/>
      <c r="B134" s="176"/>
      <c r="C134" s="176"/>
      <c r="D134" s="176"/>
      <c r="E134" s="176"/>
      <c r="F134" s="176"/>
      <c r="G134" s="176"/>
      <c r="H134" s="176"/>
      <c r="I134" s="176"/>
      <c r="J134" s="176"/>
      <c r="K134" s="176"/>
      <c r="L134" s="176"/>
      <c r="M134" s="176"/>
      <c r="N134" s="176"/>
      <c r="O134" s="176"/>
      <c r="P134" s="176"/>
      <c r="Q134" s="176"/>
      <c r="R134" s="176"/>
      <c r="S134" s="176"/>
      <c r="T134" s="176"/>
      <c r="U134" s="176"/>
      <c r="V134" s="176"/>
      <c r="W134" s="176"/>
      <c r="X134" s="176"/>
      <c r="Y134" s="176"/>
      <c r="Z134" s="176"/>
      <c r="AA134" s="176"/>
      <c r="AB134" s="176"/>
      <c r="AC134" s="176"/>
    </row>
    <row r="135" spans="1:29" s="12" customFormat="1" x14ac:dyDescent="0.3">
      <c r="A135" s="169"/>
      <c r="B135" s="176"/>
      <c r="C135" s="176"/>
      <c r="D135" s="176"/>
      <c r="E135" s="176"/>
      <c r="F135" s="176"/>
      <c r="G135" s="176"/>
      <c r="H135" s="176"/>
      <c r="I135" s="176"/>
      <c r="J135" s="176"/>
      <c r="K135" s="176"/>
      <c r="L135" s="176"/>
      <c r="M135" s="176"/>
      <c r="N135" s="176"/>
      <c r="O135" s="176"/>
      <c r="P135" s="176"/>
      <c r="Q135" s="176"/>
      <c r="R135" s="176"/>
      <c r="S135" s="176"/>
      <c r="T135" s="176"/>
      <c r="U135" s="176"/>
      <c r="V135" s="176"/>
      <c r="W135" s="176"/>
      <c r="X135" s="176"/>
      <c r="Y135" s="176"/>
      <c r="Z135" s="176"/>
      <c r="AA135" s="176"/>
      <c r="AB135" s="176"/>
      <c r="AC135" s="176"/>
    </row>
    <row r="136" spans="1:29" s="12" customFormat="1" x14ac:dyDescent="0.3">
      <c r="A136" s="169"/>
      <c r="B136" s="176"/>
      <c r="C136" s="176"/>
      <c r="D136" s="176"/>
      <c r="E136" s="176"/>
      <c r="F136" s="176"/>
      <c r="G136" s="176"/>
      <c r="H136" s="176"/>
      <c r="I136" s="176"/>
      <c r="J136" s="176"/>
      <c r="K136" s="176"/>
      <c r="L136" s="176"/>
      <c r="M136" s="176"/>
      <c r="N136" s="176"/>
      <c r="O136" s="176"/>
      <c r="P136" s="176"/>
      <c r="Q136" s="176"/>
      <c r="R136" s="176"/>
      <c r="S136" s="176"/>
      <c r="T136" s="176"/>
      <c r="U136" s="176"/>
      <c r="V136" s="176"/>
      <c r="W136" s="176"/>
      <c r="X136" s="176"/>
      <c r="Y136" s="176"/>
      <c r="Z136" s="176"/>
      <c r="AA136" s="176"/>
      <c r="AB136" s="176"/>
      <c r="AC136" s="176"/>
    </row>
    <row r="137" spans="1:29" s="12" customFormat="1" x14ac:dyDescent="0.3">
      <c r="A137" s="169"/>
      <c r="B137" s="176"/>
      <c r="C137" s="176"/>
      <c r="D137" s="176"/>
      <c r="E137" s="176"/>
      <c r="F137" s="176"/>
      <c r="G137" s="176"/>
      <c r="H137" s="176"/>
      <c r="I137" s="176"/>
      <c r="J137" s="176"/>
      <c r="K137" s="176"/>
      <c r="L137" s="176"/>
      <c r="M137" s="176"/>
      <c r="N137" s="176"/>
      <c r="O137" s="176"/>
      <c r="P137" s="176"/>
      <c r="Q137" s="176"/>
      <c r="R137" s="176"/>
      <c r="S137" s="176"/>
      <c r="T137" s="176"/>
      <c r="U137" s="176"/>
      <c r="V137" s="176"/>
      <c r="W137" s="176"/>
      <c r="X137" s="176"/>
      <c r="Y137" s="176"/>
      <c r="Z137" s="176"/>
      <c r="AA137" s="176"/>
      <c r="AB137" s="176"/>
      <c r="AC137" s="176"/>
    </row>
    <row r="138" spans="1:29" s="12" customFormat="1" x14ac:dyDescent="0.3">
      <c r="A138" s="169"/>
      <c r="B138" s="176"/>
      <c r="C138" s="176"/>
      <c r="D138" s="176"/>
      <c r="E138" s="176"/>
      <c r="F138" s="176"/>
      <c r="G138" s="176"/>
      <c r="H138" s="176"/>
      <c r="I138" s="176"/>
      <c r="J138" s="176"/>
      <c r="K138" s="176"/>
      <c r="L138" s="176"/>
      <c r="M138" s="176"/>
      <c r="N138" s="176"/>
      <c r="O138" s="176"/>
      <c r="P138" s="176"/>
      <c r="Q138" s="176"/>
      <c r="R138" s="176"/>
      <c r="S138" s="176"/>
      <c r="T138" s="176"/>
      <c r="U138" s="176"/>
      <c r="V138" s="176"/>
      <c r="W138" s="176"/>
      <c r="X138" s="176"/>
      <c r="Y138" s="176"/>
      <c r="Z138" s="176"/>
      <c r="AA138" s="176"/>
      <c r="AB138" s="176"/>
      <c r="AC138" s="176"/>
    </row>
    <row r="139" spans="1:29" s="12" customFormat="1" x14ac:dyDescent="0.3">
      <c r="A139" s="169"/>
      <c r="B139" s="176"/>
      <c r="C139" s="176"/>
      <c r="D139" s="176"/>
      <c r="E139" s="176"/>
      <c r="F139" s="176"/>
      <c r="G139" s="176"/>
      <c r="H139" s="176"/>
      <c r="I139" s="176"/>
      <c r="J139" s="176"/>
      <c r="K139" s="176"/>
      <c r="L139" s="176"/>
      <c r="M139" s="176"/>
      <c r="N139" s="176"/>
      <c r="O139" s="176"/>
      <c r="P139" s="176"/>
      <c r="Q139" s="176"/>
      <c r="R139" s="176"/>
      <c r="S139" s="176"/>
      <c r="T139" s="176"/>
      <c r="U139" s="176"/>
      <c r="V139" s="176"/>
      <c r="W139" s="176"/>
      <c r="X139" s="176"/>
      <c r="Y139" s="176"/>
      <c r="Z139" s="176"/>
      <c r="AA139" s="176"/>
      <c r="AB139" s="176"/>
      <c r="AC139" s="176"/>
    </row>
    <row r="140" spans="1:29" s="12" customFormat="1" x14ac:dyDescent="0.3">
      <c r="A140" s="169"/>
      <c r="B140" s="169"/>
      <c r="C140" s="169"/>
      <c r="D140" s="169"/>
      <c r="E140" s="169"/>
      <c r="F140" s="169"/>
      <c r="G140" s="169"/>
      <c r="H140" s="169"/>
      <c r="I140" s="169"/>
      <c r="J140" s="169"/>
      <c r="K140" s="169"/>
      <c r="L140" s="169"/>
      <c r="M140" s="169"/>
      <c r="N140" s="169"/>
      <c r="O140" s="169"/>
      <c r="P140" s="169"/>
      <c r="Q140" s="169"/>
      <c r="R140" s="169"/>
      <c r="S140" s="169"/>
      <c r="T140" s="169"/>
      <c r="U140" s="169"/>
      <c r="V140" s="169"/>
      <c r="W140" s="169"/>
      <c r="X140" s="169"/>
      <c r="Y140" s="169"/>
      <c r="Z140" s="169"/>
      <c r="AA140" s="169"/>
      <c r="AB140" s="169"/>
      <c r="AC140" s="169"/>
    </row>
    <row r="141" spans="1:29" s="12" customFormat="1" x14ac:dyDescent="0.3">
      <c r="A141" s="169"/>
      <c r="B141" s="169"/>
      <c r="C141" s="169"/>
      <c r="D141" s="169"/>
      <c r="E141" s="169"/>
      <c r="F141" s="169"/>
      <c r="G141" s="169"/>
      <c r="H141" s="169"/>
      <c r="I141" s="169"/>
      <c r="J141" s="169"/>
      <c r="K141" s="169"/>
      <c r="L141" s="169"/>
      <c r="M141" s="169"/>
      <c r="N141" s="169"/>
      <c r="O141" s="169"/>
      <c r="P141" s="169"/>
      <c r="Q141" s="169"/>
      <c r="R141" s="169"/>
      <c r="S141" s="169"/>
      <c r="T141" s="169"/>
      <c r="U141" s="169"/>
      <c r="V141" s="169"/>
      <c r="W141" s="169"/>
      <c r="X141" s="169"/>
      <c r="Y141" s="169"/>
      <c r="Z141" s="169"/>
      <c r="AA141" s="169"/>
      <c r="AB141" s="169"/>
      <c r="AC141" s="169"/>
    </row>
    <row r="142" spans="1:29" s="80" customFormat="1" ht="25.5" customHeight="1" x14ac:dyDescent="0.3">
      <c r="A142" s="463"/>
      <c r="B142" s="464" t="s">
        <v>3</v>
      </c>
      <c r="C142" s="463"/>
      <c r="D142" s="463"/>
      <c r="E142" s="463"/>
      <c r="F142" s="463"/>
      <c r="G142" s="463"/>
      <c r="H142" s="463"/>
      <c r="I142" s="463"/>
      <c r="J142" s="463"/>
      <c r="K142" s="463"/>
      <c r="L142" s="463"/>
      <c r="M142" s="463"/>
      <c r="N142" s="463"/>
      <c r="O142" s="463"/>
      <c r="P142" s="463"/>
      <c r="Q142" s="463"/>
      <c r="R142" s="463"/>
      <c r="S142" s="463"/>
      <c r="T142" s="463"/>
      <c r="U142" s="463"/>
      <c r="V142" s="463"/>
      <c r="W142" s="463"/>
      <c r="X142" s="463"/>
      <c r="Y142" s="463"/>
      <c r="Z142" s="463"/>
      <c r="AA142" s="463"/>
      <c r="AB142" s="463"/>
      <c r="AC142" s="463"/>
    </row>
    <row r="143" spans="1:29" s="12" customFormat="1" x14ac:dyDescent="0.3">
      <c r="A143" s="169"/>
      <c r="B143" s="169"/>
      <c r="C143" s="169"/>
      <c r="D143" s="169"/>
      <c r="E143" s="169"/>
      <c r="F143" s="169"/>
      <c r="G143" s="169"/>
      <c r="H143" s="169"/>
      <c r="I143" s="169"/>
      <c r="J143" s="169"/>
      <c r="K143" s="169"/>
      <c r="L143" s="169"/>
      <c r="M143" s="169"/>
      <c r="N143" s="169"/>
      <c r="O143" s="169"/>
      <c r="P143" s="169"/>
      <c r="Q143" s="169"/>
      <c r="R143" s="169"/>
      <c r="S143" s="169"/>
      <c r="T143" s="169"/>
      <c r="U143" s="169"/>
      <c r="V143" s="169"/>
      <c r="W143" s="169"/>
      <c r="X143" s="169"/>
      <c r="Y143" s="169"/>
      <c r="Z143" s="169"/>
      <c r="AA143" s="169"/>
      <c r="AB143" s="169"/>
      <c r="AC143" s="169"/>
    </row>
    <row r="144" spans="1:29" s="12" customFormat="1" x14ac:dyDescent="0.3">
      <c r="A144" s="169"/>
      <c r="B144" s="169"/>
      <c r="C144" s="169"/>
      <c r="D144" s="169"/>
      <c r="E144" s="169"/>
      <c r="F144" s="169"/>
      <c r="G144" s="169"/>
      <c r="H144" s="169"/>
      <c r="I144" s="169"/>
      <c r="J144" s="169"/>
      <c r="K144" s="169"/>
      <c r="L144" s="169"/>
      <c r="M144" s="169"/>
      <c r="N144" s="169"/>
      <c r="O144" s="169"/>
      <c r="P144" s="169"/>
      <c r="Q144" s="169"/>
      <c r="R144" s="169"/>
      <c r="S144" s="169"/>
      <c r="T144" s="169"/>
      <c r="U144" s="169"/>
      <c r="V144" s="169"/>
      <c r="W144" s="169"/>
      <c r="X144" s="169"/>
      <c r="Y144" s="169"/>
      <c r="Z144" s="169"/>
      <c r="AA144" s="169"/>
      <c r="AB144" s="169"/>
      <c r="AC144" s="169"/>
    </row>
    <row r="145" spans="1:29" s="12" customFormat="1" x14ac:dyDescent="0.3">
      <c r="A145" s="169"/>
      <c r="B145" s="176"/>
      <c r="C145" s="176"/>
      <c r="D145" s="176"/>
      <c r="E145" s="176"/>
      <c r="F145" s="176"/>
      <c r="G145" s="176"/>
      <c r="H145" s="176"/>
      <c r="I145" s="176"/>
      <c r="J145" s="176"/>
      <c r="K145" s="176"/>
      <c r="L145" s="176"/>
      <c r="M145" s="176"/>
      <c r="N145" s="176"/>
      <c r="O145" s="176"/>
      <c r="P145" s="176"/>
      <c r="Q145" s="176"/>
      <c r="R145" s="176"/>
      <c r="S145" s="176"/>
      <c r="T145" s="176"/>
      <c r="U145" s="176"/>
      <c r="V145" s="176"/>
      <c r="W145" s="176"/>
      <c r="X145" s="176"/>
      <c r="Y145" s="176"/>
      <c r="Z145" s="176"/>
      <c r="AA145" s="176"/>
      <c r="AB145" s="176"/>
      <c r="AC145" s="169"/>
    </row>
    <row r="146" spans="1:29" s="12" customFormat="1" x14ac:dyDescent="0.3">
      <c r="A146" s="169"/>
      <c r="B146" s="176"/>
      <c r="C146" s="176"/>
      <c r="D146" s="176"/>
      <c r="E146" s="176"/>
      <c r="F146" s="176"/>
      <c r="G146" s="176"/>
      <c r="H146" s="176"/>
      <c r="I146" s="176"/>
      <c r="J146" s="176"/>
      <c r="K146" s="176"/>
      <c r="L146" s="176"/>
      <c r="M146" s="176"/>
      <c r="N146" s="176"/>
      <c r="O146" s="176"/>
      <c r="P146" s="176"/>
      <c r="Q146" s="176"/>
      <c r="R146" s="176"/>
      <c r="S146" s="176"/>
      <c r="T146" s="176"/>
      <c r="U146" s="176"/>
      <c r="V146" s="176"/>
      <c r="W146" s="176"/>
      <c r="X146" s="176"/>
      <c r="Y146" s="176"/>
      <c r="Z146" s="176"/>
      <c r="AA146" s="176"/>
      <c r="AB146" s="176"/>
      <c r="AC146" s="169"/>
    </row>
    <row r="147" spans="1:29" s="12" customFormat="1" x14ac:dyDescent="0.3">
      <c r="A147" s="169"/>
      <c r="B147" s="176"/>
      <c r="C147" s="176"/>
      <c r="D147" s="176"/>
      <c r="E147" s="176"/>
      <c r="F147" s="176"/>
      <c r="G147" s="176"/>
      <c r="H147" s="176"/>
      <c r="I147" s="176"/>
      <c r="J147" s="176"/>
      <c r="K147" s="176"/>
      <c r="L147" s="176"/>
      <c r="M147" s="176"/>
      <c r="N147" s="176"/>
      <c r="O147" s="176"/>
      <c r="P147" s="176"/>
      <c r="Q147" s="176"/>
      <c r="R147" s="176"/>
      <c r="S147" s="176"/>
      <c r="T147" s="176"/>
      <c r="U147" s="176"/>
      <c r="V147" s="176"/>
      <c r="W147" s="176"/>
      <c r="X147" s="176"/>
      <c r="Y147" s="176"/>
      <c r="Z147" s="176"/>
      <c r="AA147" s="176"/>
      <c r="AB147" s="176"/>
      <c r="AC147" s="169"/>
    </row>
    <row r="148" spans="1:29" s="12" customFormat="1" x14ac:dyDescent="0.3">
      <c r="A148" s="169"/>
      <c r="B148" s="176"/>
      <c r="C148" s="176"/>
      <c r="D148" s="176"/>
      <c r="E148" s="176"/>
      <c r="F148" s="176"/>
      <c r="G148" s="176"/>
      <c r="H148" s="176"/>
      <c r="I148" s="176"/>
      <c r="J148" s="176"/>
      <c r="K148" s="176"/>
      <c r="L148" s="176"/>
      <c r="M148" s="176"/>
      <c r="N148" s="176"/>
      <c r="O148" s="176"/>
      <c r="P148" s="176"/>
      <c r="Q148" s="176"/>
      <c r="R148" s="176"/>
      <c r="S148" s="176"/>
      <c r="T148" s="176"/>
      <c r="U148" s="176"/>
      <c r="V148" s="176"/>
      <c r="W148" s="176"/>
      <c r="X148" s="176"/>
      <c r="Y148" s="176"/>
      <c r="Z148" s="176"/>
      <c r="AA148" s="176"/>
      <c r="AB148" s="176"/>
      <c r="AC148" s="169"/>
    </row>
    <row r="149" spans="1:29" s="12" customFormat="1" x14ac:dyDescent="0.3">
      <c r="A149" s="169"/>
      <c r="B149" s="176"/>
      <c r="C149" s="176"/>
      <c r="D149" s="176"/>
      <c r="E149" s="176"/>
      <c r="F149" s="176"/>
      <c r="G149" s="176"/>
      <c r="H149" s="176"/>
      <c r="I149" s="176"/>
      <c r="J149" s="176"/>
      <c r="K149" s="176"/>
      <c r="L149" s="176"/>
      <c r="M149" s="176"/>
      <c r="N149" s="176"/>
      <c r="O149" s="176"/>
      <c r="P149" s="176"/>
      <c r="Q149" s="176"/>
      <c r="R149" s="176"/>
      <c r="S149" s="176"/>
      <c r="T149" s="176"/>
      <c r="U149" s="176"/>
      <c r="V149" s="176"/>
      <c r="W149" s="176"/>
      <c r="X149" s="176"/>
      <c r="Y149" s="176"/>
      <c r="Z149" s="176"/>
      <c r="AA149" s="176"/>
      <c r="AB149" s="176"/>
      <c r="AC149" s="169"/>
    </row>
    <row r="150" spans="1:29" s="12" customFormat="1" x14ac:dyDescent="0.3">
      <c r="A150" s="169"/>
      <c r="B150" s="176"/>
      <c r="C150" s="176"/>
      <c r="D150" s="176"/>
      <c r="E150" s="176"/>
      <c r="F150" s="176"/>
      <c r="G150" s="176"/>
      <c r="H150" s="176"/>
      <c r="I150" s="176"/>
      <c r="J150" s="176"/>
      <c r="K150" s="176"/>
      <c r="L150" s="176"/>
      <c r="M150" s="176"/>
      <c r="N150" s="176"/>
      <c r="O150" s="176"/>
      <c r="P150" s="176"/>
      <c r="Q150" s="176"/>
      <c r="R150" s="176"/>
      <c r="S150" s="176"/>
      <c r="T150" s="176"/>
      <c r="U150" s="176"/>
      <c r="V150" s="176"/>
      <c r="W150" s="176"/>
      <c r="X150" s="176"/>
      <c r="Y150" s="176"/>
      <c r="Z150" s="176"/>
      <c r="AA150" s="176"/>
      <c r="AB150" s="176"/>
      <c r="AC150" s="169"/>
    </row>
    <row r="151" spans="1:29" s="12" customFormat="1" x14ac:dyDescent="0.3">
      <c r="A151" s="169"/>
      <c r="B151" s="176"/>
      <c r="C151" s="176"/>
      <c r="D151" s="176"/>
      <c r="E151" s="176"/>
      <c r="F151" s="176"/>
      <c r="G151" s="176"/>
      <c r="H151" s="176"/>
      <c r="I151" s="176"/>
      <c r="J151" s="176"/>
      <c r="K151" s="176"/>
      <c r="L151" s="176"/>
      <c r="M151" s="176"/>
      <c r="N151" s="176"/>
      <c r="O151" s="176"/>
      <c r="P151" s="176"/>
      <c r="Q151" s="176"/>
      <c r="R151" s="176"/>
      <c r="S151" s="176"/>
      <c r="T151" s="176"/>
      <c r="U151" s="176"/>
      <c r="V151" s="176"/>
      <c r="W151" s="176"/>
      <c r="X151" s="176"/>
      <c r="Y151" s="176"/>
      <c r="Z151" s="176"/>
      <c r="AA151" s="176"/>
      <c r="AB151" s="176"/>
      <c r="AC151" s="169"/>
    </row>
    <row r="152" spans="1:29" s="12" customFormat="1" x14ac:dyDescent="0.3">
      <c r="A152" s="169"/>
      <c r="B152" s="176"/>
      <c r="C152" s="176"/>
      <c r="D152" s="176"/>
      <c r="E152" s="176"/>
      <c r="F152" s="176"/>
      <c r="G152" s="176"/>
      <c r="H152" s="176"/>
      <c r="I152" s="176"/>
      <c r="J152" s="176"/>
      <c r="K152" s="176"/>
      <c r="L152" s="176"/>
      <c r="M152" s="176"/>
      <c r="N152" s="176"/>
      <c r="O152" s="176"/>
      <c r="P152" s="176"/>
      <c r="Q152" s="176"/>
      <c r="R152" s="176"/>
      <c r="S152" s="176"/>
      <c r="T152" s="176"/>
      <c r="U152" s="176"/>
      <c r="V152" s="176"/>
      <c r="W152" s="176"/>
      <c r="X152" s="176"/>
      <c r="Y152" s="176"/>
      <c r="Z152" s="176"/>
      <c r="AA152" s="176"/>
      <c r="AB152" s="176"/>
      <c r="AC152" s="169"/>
    </row>
    <row r="153" spans="1:29" s="12" customFormat="1" x14ac:dyDescent="0.3">
      <c r="A153" s="169"/>
      <c r="B153" s="176"/>
      <c r="C153" s="176"/>
      <c r="D153" s="176"/>
      <c r="E153" s="176"/>
      <c r="F153" s="176"/>
      <c r="G153" s="176"/>
      <c r="H153" s="176"/>
      <c r="I153" s="176"/>
      <c r="J153" s="176"/>
      <c r="K153" s="176"/>
      <c r="L153" s="176"/>
      <c r="M153" s="176"/>
      <c r="N153" s="176"/>
      <c r="O153" s="176"/>
      <c r="P153" s="176"/>
      <c r="Q153" s="176"/>
      <c r="R153" s="176"/>
      <c r="S153" s="176"/>
      <c r="T153" s="176"/>
      <c r="U153" s="176"/>
      <c r="V153" s="176"/>
      <c r="W153" s="176"/>
      <c r="X153" s="176"/>
      <c r="Y153" s="176"/>
      <c r="Z153" s="176"/>
      <c r="AA153" s="176"/>
      <c r="AB153" s="176"/>
      <c r="AC153" s="169"/>
    </row>
    <row r="154" spans="1:29" s="12" customFormat="1" x14ac:dyDescent="0.3">
      <c r="A154" s="169"/>
      <c r="B154" s="176"/>
      <c r="C154" s="176"/>
      <c r="D154" s="176"/>
      <c r="E154" s="176"/>
      <c r="F154" s="176"/>
      <c r="G154" s="176"/>
      <c r="H154" s="176"/>
      <c r="I154" s="176"/>
      <c r="J154" s="176"/>
      <c r="K154" s="176"/>
      <c r="L154" s="176"/>
      <c r="M154" s="176"/>
      <c r="N154" s="176"/>
      <c r="O154" s="176"/>
      <c r="P154" s="176"/>
      <c r="Q154" s="176"/>
      <c r="R154" s="176"/>
      <c r="S154" s="176"/>
      <c r="T154" s="176"/>
      <c r="U154" s="176"/>
      <c r="V154" s="176"/>
      <c r="W154" s="176"/>
      <c r="X154" s="176"/>
      <c r="Y154" s="176"/>
      <c r="Z154" s="176"/>
      <c r="AA154" s="176"/>
      <c r="AB154" s="176"/>
      <c r="AC154" s="169"/>
    </row>
    <row r="155" spans="1:29" s="12" customFormat="1" x14ac:dyDescent="0.3">
      <c r="A155" s="169"/>
      <c r="B155" s="176"/>
      <c r="C155" s="176"/>
      <c r="D155" s="176"/>
      <c r="E155" s="176"/>
      <c r="F155" s="176"/>
      <c r="G155" s="176"/>
      <c r="H155" s="176"/>
      <c r="I155" s="176"/>
      <c r="J155" s="176"/>
      <c r="K155" s="176"/>
      <c r="L155" s="176"/>
      <c r="M155" s="176"/>
      <c r="N155" s="176"/>
      <c r="O155" s="176"/>
      <c r="P155" s="176"/>
      <c r="Q155" s="176"/>
      <c r="R155" s="176"/>
      <c r="S155" s="176"/>
      <c r="T155" s="176"/>
      <c r="U155" s="176"/>
      <c r="V155" s="176"/>
      <c r="W155" s="176"/>
      <c r="X155" s="176"/>
      <c r="Y155" s="176"/>
      <c r="Z155" s="176"/>
      <c r="AA155" s="176"/>
      <c r="AB155" s="176"/>
      <c r="AC155" s="169"/>
    </row>
    <row r="156" spans="1:29" s="12" customFormat="1" x14ac:dyDescent="0.3">
      <c r="A156" s="169"/>
      <c r="B156" s="176"/>
      <c r="C156" s="176"/>
      <c r="D156" s="176"/>
      <c r="E156" s="176"/>
      <c r="F156" s="176"/>
      <c r="G156" s="176"/>
      <c r="H156" s="176"/>
      <c r="I156" s="176"/>
      <c r="J156" s="176"/>
      <c r="K156" s="176"/>
      <c r="L156" s="176"/>
      <c r="M156" s="176"/>
      <c r="N156" s="176"/>
      <c r="O156" s="176"/>
      <c r="P156" s="176"/>
      <c r="Q156" s="176"/>
      <c r="R156" s="176"/>
      <c r="S156" s="176"/>
      <c r="T156" s="176"/>
      <c r="U156" s="176"/>
      <c r="V156" s="176"/>
      <c r="W156" s="176"/>
      <c r="X156" s="176"/>
      <c r="Y156" s="176"/>
      <c r="Z156" s="176"/>
      <c r="AA156" s="176"/>
      <c r="AB156" s="176"/>
      <c r="AC156" s="169"/>
    </row>
    <row r="157" spans="1:29" s="12" customFormat="1" x14ac:dyDescent="0.3">
      <c r="A157" s="169"/>
      <c r="B157" s="176"/>
      <c r="C157" s="176"/>
      <c r="D157" s="176"/>
      <c r="E157" s="176"/>
      <c r="F157" s="176"/>
      <c r="G157" s="176"/>
      <c r="H157" s="176"/>
      <c r="I157" s="176"/>
      <c r="J157" s="176"/>
      <c r="K157" s="176"/>
      <c r="L157" s="176"/>
      <c r="M157" s="176"/>
      <c r="N157" s="176"/>
      <c r="O157" s="176"/>
      <c r="P157" s="176"/>
      <c r="Q157" s="176"/>
      <c r="R157" s="176"/>
      <c r="S157" s="176"/>
      <c r="T157" s="176"/>
      <c r="U157" s="176"/>
      <c r="V157" s="176"/>
      <c r="W157" s="176"/>
      <c r="X157" s="176"/>
      <c r="Y157" s="176"/>
      <c r="Z157" s="176"/>
      <c r="AA157" s="176"/>
      <c r="AB157" s="176"/>
      <c r="AC157" s="169"/>
    </row>
    <row r="158" spans="1:29" s="12" customFormat="1" x14ac:dyDescent="0.3">
      <c r="A158" s="169"/>
      <c r="B158" s="176"/>
      <c r="C158" s="176"/>
      <c r="D158" s="176"/>
      <c r="E158" s="176"/>
      <c r="F158" s="176"/>
      <c r="G158" s="176"/>
      <c r="H158" s="176"/>
      <c r="I158" s="176"/>
      <c r="J158" s="176"/>
      <c r="K158" s="176"/>
      <c r="L158" s="176"/>
      <c r="M158" s="176"/>
      <c r="N158" s="176"/>
      <c r="O158" s="176"/>
      <c r="P158" s="176"/>
      <c r="Q158" s="176"/>
      <c r="R158" s="176"/>
      <c r="S158" s="176"/>
      <c r="T158" s="176"/>
      <c r="U158" s="176"/>
      <c r="V158" s="176"/>
      <c r="W158" s="176"/>
      <c r="X158" s="176"/>
      <c r="Y158" s="176"/>
      <c r="Z158" s="176"/>
      <c r="AA158" s="176"/>
      <c r="AB158" s="176"/>
      <c r="AC158" s="169"/>
    </row>
    <row r="159" spans="1:29" s="12" customFormat="1" x14ac:dyDescent="0.3">
      <c r="A159" s="169"/>
      <c r="B159" s="176"/>
      <c r="C159" s="176"/>
      <c r="D159" s="176"/>
      <c r="E159" s="176"/>
      <c r="F159" s="176"/>
      <c r="G159" s="176"/>
      <c r="H159" s="176"/>
      <c r="I159" s="176"/>
      <c r="J159" s="176"/>
      <c r="K159" s="176"/>
      <c r="L159" s="176"/>
      <c r="M159" s="176"/>
      <c r="N159" s="176"/>
      <c r="O159" s="176"/>
      <c r="P159" s="176"/>
      <c r="Q159" s="176"/>
      <c r="R159" s="176"/>
      <c r="S159" s="176"/>
      <c r="T159" s="176"/>
      <c r="U159" s="176"/>
      <c r="V159" s="176"/>
      <c r="W159" s="176"/>
      <c r="X159" s="176"/>
      <c r="Y159" s="176"/>
      <c r="Z159" s="176"/>
      <c r="AA159" s="176"/>
      <c r="AB159" s="176"/>
      <c r="AC159" s="169"/>
    </row>
    <row r="160" spans="1:29" s="12" customFormat="1" x14ac:dyDescent="0.3">
      <c r="A160" s="169"/>
      <c r="B160" s="176"/>
      <c r="C160" s="176"/>
      <c r="D160" s="176"/>
      <c r="E160" s="176"/>
      <c r="F160" s="176"/>
      <c r="G160" s="176"/>
      <c r="H160" s="176"/>
      <c r="I160" s="176"/>
      <c r="J160" s="176"/>
      <c r="K160" s="176"/>
      <c r="L160" s="176"/>
      <c r="M160" s="176"/>
      <c r="N160" s="176"/>
      <c r="O160" s="176"/>
      <c r="P160" s="176"/>
      <c r="Q160" s="176"/>
      <c r="R160" s="176"/>
      <c r="S160" s="176"/>
      <c r="T160" s="176"/>
      <c r="U160" s="176"/>
      <c r="V160" s="176"/>
      <c r="W160" s="176"/>
      <c r="X160" s="176"/>
      <c r="Y160" s="176"/>
      <c r="Z160" s="176"/>
      <c r="AA160" s="176"/>
      <c r="AB160" s="176"/>
      <c r="AC160" s="169"/>
    </row>
    <row r="161" spans="1:29" s="12" customFormat="1" x14ac:dyDescent="0.3">
      <c r="A161" s="169"/>
      <c r="B161" s="176"/>
      <c r="C161" s="176"/>
      <c r="D161" s="176"/>
      <c r="E161" s="176"/>
      <c r="F161" s="176"/>
      <c r="G161" s="176"/>
      <c r="H161" s="176"/>
      <c r="I161" s="176"/>
      <c r="J161" s="176"/>
      <c r="K161" s="176"/>
      <c r="L161" s="176"/>
      <c r="M161" s="176"/>
      <c r="N161" s="176"/>
      <c r="O161" s="176"/>
      <c r="P161" s="176"/>
      <c r="Q161" s="176"/>
      <c r="R161" s="176"/>
      <c r="S161" s="176"/>
      <c r="T161" s="176"/>
      <c r="U161" s="176"/>
      <c r="V161" s="176"/>
      <c r="W161" s="176"/>
      <c r="X161" s="176"/>
      <c r="Y161" s="176"/>
      <c r="Z161" s="176"/>
      <c r="AA161" s="176"/>
      <c r="AB161" s="176"/>
      <c r="AC161" s="169"/>
    </row>
    <row r="162" spans="1:29" s="12" customFormat="1" x14ac:dyDescent="0.3">
      <c r="A162" s="169"/>
      <c r="B162" s="176"/>
      <c r="C162" s="176"/>
      <c r="D162" s="176"/>
      <c r="E162" s="176"/>
      <c r="F162" s="176"/>
      <c r="G162" s="176"/>
      <c r="H162" s="176"/>
      <c r="I162" s="176"/>
      <c r="J162" s="176"/>
      <c r="K162" s="176"/>
      <c r="L162" s="176"/>
      <c r="M162" s="176"/>
      <c r="N162" s="176"/>
      <c r="O162" s="176"/>
      <c r="P162" s="176"/>
      <c r="Q162" s="176"/>
      <c r="R162" s="176"/>
      <c r="S162" s="176"/>
      <c r="T162" s="176"/>
      <c r="U162" s="176"/>
      <c r="V162" s="176"/>
      <c r="W162" s="176"/>
      <c r="X162" s="176"/>
      <c r="Y162" s="176"/>
      <c r="Z162" s="176"/>
      <c r="AA162" s="176"/>
      <c r="AB162" s="176"/>
      <c r="AC162" s="169"/>
    </row>
    <row r="163" spans="1:29" s="12" customFormat="1" x14ac:dyDescent="0.3">
      <c r="A163" s="169"/>
      <c r="B163" s="176"/>
      <c r="C163" s="176"/>
      <c r="D163" s="176"/>
      <c r="E163" s="176"/>
      <c r="F163" s="176"/>
      <c r="G163" s="176"/>
      <c r="H163" s="176"/>
      <c r="I163" s="176"/>
      <c r="J163" s="176"/>
      <c r="K163" s="176"/>
      <c r="L163" s="176"/>
      <c r="M163" s="176"/>
      <c r="N163" s="176"/>
      <c r="O163" s="176"/>
      <c r="P163" s="176"/>
      <c r="Q163" s="176"/>
      <c r="R163" s="176"/>
      <c r="S163" s="176"/>
      <c r="T163" s="176"/>
      <c r="U163" s="176"/>
      <c r="V163" s="176"/>
      <c r="W163" s="176"/>
      <c r="X163" s="176"/>
      <c r="Y163" s="176"/>
      <c r="Z163" s="176"/>
      <c r="AA163" s="176"/>
      <c r="AB163" s="176"/>
      <c r="AC163" s="169"/>
    </row>
    <row r="164" spans="1:29" s="12" customFormat="1" x14ac:dyDescent="0.3">
      <c r="A164" s="169"/>
      <c r="B164" s="176"/>
      <c r="C164" s="176"/>
      <c r="D164" s="176"/>
      <c r="E164" s="176"/>
      <c r="F164" s="176"/>
      <c r="G164" s="176"/>
      <c r="H164" s="176"/>
      <c r="I164" s="176"/>
      <c r="J164" s="176"/>
      <c r="K164" s="176"/>
      <c r="L164" s="176"/>
      <c r="M164" s="176"/>
      <c r="N164" s="176"/>
      <c r="O164" s="176"/>
      <c r="P164" s="176"/>
      <c r="Q164" s="176"/>
      <c r="R164" s="176"/>
      <c r="S164" s="176"/>
      <c r="T164" s="176"/>
      <c r="U164" s="176"/>
      <c r="V164" s="176"/>
      <c r="W164" s="176"/>
      <c r="X164" s="176"/>
      <c r="Y164" s="176"/>
      <c r="Z164" s="176"/>
      <c r="AA164" s="176"/>
      <c r="AB164" s="176"/>
      <c r="AC164" s="169"/>
    </row>
    <row r="165" spans="1:29" s="12" customFormat="1" x14ac:dyDescent="0.3">
      <c r="A165" s="169"/>
      <c r="B165" s="176"/>
      <c r="C165" s="176"/>
      <c r="D165" s="176"/>
      <c r="E165" s="176"/>
      <c r="F165" s="176"/>
      <c r="G165" s="176"/>
      <c r="H165" s="176"/>
      <c r="I165" s="176"/>
      <c r="J165" s="176"/>
      <c r="K165" s="176"/>
      <c r="L165" s="176"/>
      <c r="M165" s="176"/>
      <c r="N165" s="176"/>
      <c r="O165" s="176"/>
      <c r="P165" s="176"/>
      <c r="Q165" s="176"/>
      <c r="R165" s="176"/>
      <c r="S165" s="176"/>
      <c r="T165" s="176"/>
      <c r="U165" s="176"/>
      <c r="V165" s="176"/>
      <c r="W165" s="176"/>
      <c r="X165" s="176"/>
      <c r="Y165" s="176"/>
      <c r="Z165" s="176"/>
      <c r="AA165" s="176"/>
      <c r="AB165" s="176"/>
      <c r="AC165" s="169"/>
    </row>
    <row r="166" spans="1:29" s="12" customFormat="1" x14ac:dyDescent="0.3">
      <c r="A166" s="169"/>
      <c r="B166" s="176"/>
      <c r="C166" s="176"/>
      <c r="D166" s="176"/>
      <c r="E166" s="176"/>
      <c r="F166" s="176"/>
      <c r="G166" s="176"/>
      <c r="H166" s="176"/>
      <c r="I166" s="176"/>
      <c r="J166" s="176"/>
      <c r="K166" s="176"/>
      <c r="L166" s="176"/>
      <c r="M166" s="176"/>
      <c r="N166" s="176"/>
      <c r="O166" s="176"/>
      <c r="P166" s="176"/>
      <c r="Q166" s="176"/>
      <c r="R166" s="176"/>
      <c r="S166" s="176"/>
      <c r="T166" s="176"/>
      <c r="U166" s="176"/>
      <c r="V166" s="176"/>
      <c r="W166" s="176"/>
      <c r="X166" s="176"/>
      <c r="Y166" s="176"/>
      <c r="Z166" s="176"/>
      <c r="AA166" s="176"/>
      <c r="AB166" s="176"/>
      <c r="AC166" s="169"/>
    </row>
    <row r="167" spans="1:29" s="12" customFormat="1" x14ac:dyDescent="0.3">
      <c r="A167" s="169"/>
      <c r="B167" s="176"/>
      <c r="C167" s="176"/>
      <c r="D167" s="176"/>
      <c r="E167" s="176"/>
      <c r="F167" s="176"/>
      <c r="G167" s="176"/>
      <c r="H167" s="176"/>
      <c r="I167" s="176"/>
      <c r="J167" s="176"/>
      <c r="K167" s="176"/>
      <c r="L167" s="176"/>
      <c r="M167" s="176"/>
      <c r="N167" s="176"/>
      <c r="O167" s="176"/>
      <c r="P167" s="176"/>
      <c r="Q167" s="176"/>
      <c r="R167" s="176"/>
      <c r="S167" s="176"/>
      <c r="T167" s="176"/>
      <c r="U167" s="176"/>
      <c r="V167" s="176"/>
      <c r="W167" s="176"/>
      <c r="X167" s="176"/>
      <c r="Y167" s="176"/>
      <c r="Z167" s="176"/>
      <c r="AA167" s="176"/>
      <c r="AB167" s="176"/>
      <c r="AC167" s="169"/>
    </row>
    <row r="168" spans="1:29" s="12" customFormat="1" x14ac:dyDescent="0.3">
      <c r="A168" s="169"/>
      <c r="B168" s="176"/>
      <c r="C168" s="176"/>
      <c r="D168" s="176"/>
      <c r="E168" s="176"/>
      <c r="F168" s="176"/>
      <c r="G168" s="176"/>
      <c r="H168" s="176"/>
      <c r="I168" s="176"/>
      <c r="J168" s="176"/>
      <c r="K168" s="176"/>
      <c r="L168" s="176"/>
      <c r="M168" s="176"/>
      <c r="N168" s="176"/>
      <c r="O168" s="176"/>
      <c r="P168" s="176"/>
      <c r="Q168" s="176"/>
      <c r="R168" s="176"/>
      <c r="S168" s="176"/>
      <c r="T168" s="176"/>
      <c r="U168" s="176"/>
      <c r="V168" s="176"/>
      <c r="W168" s="176"/>
      <c r="X168" s="176"/>
      <c r="Y168" s="176"/>
      <c r="Z168" s="176"/>
      <c r="AA168" s="176"/>
      <c r="AB168" s="176"/>
      <c r="AC168" s="169"/>
    </row>
    <row r="169" spans="1:29" s="12" customFormat="1" x14ac:dyDescent="0.3">
      <c r="A169" s="169"/>
      <c r="B169" s="176"/>
      <c r="C169" s="176"/>
      <c r="D169" s="176"/>
      <c r="E169" s="176"/>
      <c r="F169" s="176"/>
      <c r="G169" s="176"/>
      <c r="H169" s="176"/>
      <c r="I169" s="176"/>
      <c r="J169" s="176"/>
      <c r="K169" s="176"/>
      <c r="L169" s="176"/>
      <c r="M169" s="176"/>
      <c r="N169" s="176"/>
      <c r="O169" s="176"/>
      <c r="P169" s="176"/>
      <c r="Q169" s="176"/>
      <c r="R169" s="176"/>
      <c r="S169" s="176"/>
      <c r="T169" s="176"/>
      <c r="U169" s="176"/>
      <c r="V169" s="176"/>
      <c r="W169" s="176"/>
      <c r="X169" s="176"/>
      <c r="Y169" s="176"/>
      <c r="Z169" s="176"/>
      <c r="AA169" s="176"/>
      <c r="AB169" s="176"/>
      <c r="AC169" s="169"/>
    </row>
    <row r="170" spans="1:29" s="12" customFormat="1" x14ac:dyDescent="0.3">
      <c r="A170" s="169"/>
      <c r="B170" s="465"/>
      <c r="C170" s="465"/>
      <c r="D170" s="465"/>
      <c r="E170" s="465"/>
      <c r="F170" s="465"/>
      <c r="G170" s="465"/>
      <c r="H170" s="465"/>
      <c r="I170" s="465"/>
      <c r="J170" s="465"/>
      <c r="K170" s="465"/>
      <c r="L170" s="465"/>
      <c r="M170" s="465"/>
      <c r="N170" s="465"/>
      <c r="O170" s="465"/>
      <c r="P170" s="465"/>
      <c r="Q170" s="465"/>
      <c r="R170" s="465"/>
      <c r="S170" s="465"/>
      <c r="T170" s="465"/>
      <c r="U170" s="465"/>
      <c r="V170" s="465"/>
      <c r="W170" s="465"/>
      <c r="X170" s="465"/>
      <c r="Y170" s="465"/>
      <c r="Z170" s="465"/>
      <c r="AA170" s="465"/>
      <c r="AB170" s="465"/>
      <c r="AC170" s="169"/>
    </row>
    <row r="171" spans="1:29" s="12" customFormat="1" x14ac:dyDescent="0.3">
      <c r="A171" s="169"/>
      <c r="B171" s="176"/>
      <c r="C171" s="176"/>
      <c r="D171" s="176"/>
      <c r="E171" s="176"/>
      <c r="F171" s="176"/>
      <c r="G171" s="176"/>
      <c r="H171" s="176"/>
      <c r="I171" s="176"/>
      <c r="J171" s="176"/>
      <c r="K171" s="176"/>
      <c r="L171" s="176"/>
      <c r="M171" s="176"/>
      <c r="N171" s="176"/>
      <c r="O171" s="176"/>
      <c r="P171" s="176"/>
      <c r="Q171" s="176"/>
      <c r="R171" s="176"/>
      <c r="S171" s="176"/>
      <c r="T171" s="176"/>
      <c r="U171" s="176"/>
      <c r="V171" s="176"/>
      <c r="W171" s="176"/>
      <c r="X171" s="176"/>
      <c r="Y171" s="176"/>
      <c r="Z171" s="176"/>
      <c r="AA171" s="176"/>
      <c r="AB171" s="176"/>
      <c r="AC171" s="169"/>
    </row>
    <row r="172" spans="1:29" s="12" customFormat="1" x14ac:dyDescent="0.3">
      <c r="A172" s="169"/>
      <c r="B172" s="176"/>
      <c r="C172" s="176"/>
      <c r="D172" s="176"/>
      <c r="E172" s="176"/>
      <c r="F172" s="176"/>
      <c r="G172" s="176"/>
      <c r="H172" s="176"/>
      <c r="I172" s="176"/>
      <c r="J172" s="176"/>
      <c r="K172" s="176"/>
      <c r="L172" s="176"/>
      <c r="M172" s="176"/>
      <c r="N172" s="176"/>
      <c r="O172" s="176"/>
      <c r="P172" s="176"/>
      <c r="Q172" s="176"/>
      <c r="R172" s="176"/>
      <c r="S172" s="176"/>
      <c r="T172" s="176"/>
      <c r="U172" s="176"/>
      <c r="V172" s="176"/>
      <c r="W172" s="176"/>
      <c r="X172" s="176"/>
      <c r="Y172" s="176"/>
      <c r="Z172" s="176"/>
      <c r="AA172" s="176"/>
      <c r="AB172" s="176"/>
      <c r="AC172" s="169"/>
    </row>
    <row r="173" spans="1:29" s="12" customFormat="1" x14ac:dyDescent="0.3">
      <c r="A173" s="169"/>
      <c r="B173" s="176"/>
      <c r="C173" s="176"/>
      <c r="D173" s="176"/>
      <c r="E173" s="176"/>
      <c r="F173" s="176"/>
      <c r="G173" s="176"/>
      <c r="H173" s="176"/>
      <c r="I173" s="176"/>
      <c r="J173" s="176"/>
      <c r="K173" s="176"/>
      <c r="L173" s="176"/>
      <c r="M173" s="176"/>
      <c r="N173" s="176"/>
      <c r="O173" s="176"/>
      <c r="P173" s="176"/>
      <c r="Q173" s="176"/>
      <c r="R173" s="176"/>
      <c r="S173" s="176"/>
      <c r="T173" s="176"/>
      <c r="U173" s="176"/>
      <c r="V173" s="176"/>
      <c r="W173" s="176"/>
      <c r="X173" s="176"/>
      <c r="Y173" s="176"/>
      <c r="Z173" s="176"/>
      <c r="AA173" s="176"/>
      <c r="AB173" s="176"/>
      <c r="AC173" s="169"/>
    </row>
    <row r="174" spans="1:29" s="12" customFormat="1" x14ac:dyDescent="0.3">
      <c r="A174" s="169"/>
      <c r="B174" s="176"/>
      <c r="C174" s="176"/>
      <c r="D174" s="176"/>
      <c r="E174" s="176"/>
      <c r="F174" s="176"/>
      <c r="G174" s="176"/>
      <c r="H174" s="176"/>
      <c r="I174" s="176"/>
      <c r="J174" s="176"/>
      <c r="K174" s="176"/>
      <c r="L174" s="176"/>
      <c r="M174" s="176"/>
      <c r="N174" s="176"/>
      <c r="O174" s="176"/>
      <c r="P174" s="176"/>
      <c r="Q174" s="176"/>
      <c r="R174" s="176"/>
      <c r="S174" s="176"/>
      <c r="T174" s="176"/>
      <c r="U174" s="176"/>
      <c r="V174" s="176"/>
      <c r="W174" s="176"/>
      <c r="X174" s="176"/>
      <c r="Y174" s="176"/>
      <c r="Z174" s="176"/>
      <c r="AA174" s="176"/>
      <c r="AB174" s="176"/>
      <c r="AC174" s="169"/>
    </row>
    <row r="175" spans="1:29" s="12" customFormat="1" x14ac:dyDescent="0.3">
      <c r="A175" s="169"/>
      <c r="B175" s="176"/>
      <c r="C175" s="176"/>
      <c r="D175" s="176"/>
      <c r="E175" s="176"/>
      <c r="F175" s="176"/>
      <c r="G175" s="176"/>
      <c r="H175" s="176"/>
      <c r="I175" s="176"/>
      <c r="J175" s="176"/>
      <c r="K175" s="176"/>
      <c r="L175" s="176"/>
      <c r="M175" s="176"/>
      <c r="N175" s="176"/>
      <c r="O175" s="176"/>
      <c r="P175" s="176"/>
      <c r="Q175" s="176"/>
      <c r="R175" s="176"/>
      <c r="S175" s="176"/>
      <c r="T175" s="176"/>
      <c r="U175" s="176"/>
      <c r="V175" s="176"/>
      <c r="W175" s="176"/>
      <c r="X175" s="176"/>
      <c r="Y175" s="176"/>
      <c r="Z175" s="176"/>
      <c r="AA175" s="176"/>
      <c r="AB175" s="176"/>
      <c r="AC175" s="169"/>
    </row>
    <row r="176" spans="1:29" s="12" customFormat="1" x14ac:dyDescent="0.3">
      <c r="A176" s="169"/>
      <c r="B176" s="176"/>
      <c r="C176" s="176"/>
      <c r="D176" s="176"/>
      <c r="E176" s="176"/>
      <c r="F176" s="176"/>
      <c r="G176" s="176"/>
      <c r="H176" s="176"/>
      <c r="I176" s="176"/>
      <c r="J176" s="176"/>
      <c r="K176" s="176"/>
      <c r="L176" s="176"/>
      <c r="M176" s="176"/>
      <c r="N176" s="176"/>
      <c r="O176" s="176"/>
      <c r="P176" s="176"/>
      <c r="Q176" s="176"/>
      <c r="R176" s="176"/>
      <c r="S176" s="176"/>
      <c r="T176" s="176"/>
      <c r="U176" s="176"/>
      <c r="V176" s="176"/>
      <c r="W176" s="176"/>
      <c r="X176" s="176"/>
      <c r="Y176" s="176"/>
      <c r="Z176" s="176"/>
      <c r="AA176" s="176"/>
      <c r="AB176" s="176"/>
      <c r="AC176" s="169"/>
    </row>
    <row r="177" spans="1:29" s="12" customFormat="1" x14ac:dyDescent="0.3">
      <c r="A177" s="169"/>
      <c r="B177" s="176"/>
      <c r="C177" s="176"/>
      <c r="D177" s="176"/>
      <c r="E177" s="176"/>
      <c r="F177" s="176"/>
      <c r="G177" s="176"/>
      <c r="H177" s="176"/>
      <c r="I177" s="176"/>
      <c r="J177" s="176"/>
      <c r="K177" s="176"/>
      <c r="L177" s="176"/>
      <c r="M177" s="176"/>
      <c r="N177" s="176"/>
      <c r="O177" s="176"/>
      <c r="P177" s="176"/>
      <c r="Q177" s="176"/>
      <c r="R177" s="176"/>
      <c r="S177" s="176"/>
      <c r="T177" s="176"/>
      <c r="U177" s="176"/>
      <c r="V177" s="176"/>
      <c r="W177" s="176"/>
      <c r="X177" s="176"/>
      <c r="Y177" s="176"/>
      <c r="Z177" s="176"/>
      <c r="AA177" s="176"/>
      <c r="AB177" s="176"/>
      <c r="AC177" s="169"/>
    </row>
    <row r="178" spans="1:29" s="12" customFormat="1" x14ac:dyDescent="0.3">
      <c r="A178" s="169"/>
      <c r="B178" s="176"/>
      <c r="C178" s="176"/>
      <c r="D178" s="176"/>
      <c r="E178" s="176"/>
      <c r="F178" s="176"/>
      <c r="G178" s="176"/>
      <c r="H178" s="176"/>
      <c r="I178" s="176"/>
      <c r="J178" s="176"/>
      <c r="K178" s="176"/>
      <c r="L178" s="176"/>
      <c r="M178" s="176"/>
      <c r="N178" s="176"/>
      <c r="O178" s="176"/>
      <c r="P178" s="176"/>
      <c r="Q178" s="176"/>
      <c r="R178" s="176"/>
      <c r="S178" s="176"/>
      <c r="T178" s="176"/>
      <c r="U178" s="176"/>
      <c r="V178" s="176"/>
      <c r="W178" s="176"/>
      <c r="X178" s="176"/>
      <c r="Y178" s="176"/>
      <c r="Z178" s="176"/>
      <c r="AA178" s="176"/>
      <c r="AB178" s="176"/>
      <c r="AC178" s="169"/>
    </row>
    <row r="179" spans="1:29" s="12" customFormat="1" x14ac:dyDescent="0.3">
      <c r="A179" s="169"/>
      <c r="B179" s="176"/>
      <c r="C179" s="176"/>
      <c r="D179" s="176"/>
      <c r="E179" s="176"/>
      <c r="F179" s="176"/>
      <c r="G179" s="176"/>
      <c r="H179" s="176"/>
      <c r="I179" s="176"/>
      <c r="J179" s="176"/>
      <c r="K179" s="176"/>
      <c r="L179" s="176"/>
      <c r="M179" s="176"/>
      <c r="N179" s="176"/>
      <c r="O179" s="176"/>
      <c r="P179" s="176"/>
      <c r="Q179" s="176"/>
      <c r="R179" s="176"/>
      <c r="S179" s="176"/>
      <c r="T179" s="176"/>
      <c r="U179" s="176"/>
      <c r="V179" s="176"/>
      <c r="W179" s="176"/>
      <c r="X179" s="176"/>
      <c r="Y179" s="176"/>
      <c r="Z179" s="176"/>
      <c r="AA179" s="176"/>
      <c r="AB179" s="176"/>
      <c r="AC179" s="169"/>
    </row>
    <row r="180" spans="1:29" s="12" customFormat="1" x14ac:dyDescent="0.3">
      <c r="A180" s="169"/>
      <c r="B180" s="176"/>
      <c r="C180" s="176"/>
      <c r="D180" s="176"/>
      <c r="E180" s="176"/>
      <c r="F180" s="176"/>
      <c r="G180" s="176"/>
      <c r="H180" s="176"/>
      <c r="I180" s="176"/>
      <c r="J180" s="176"/>
      <c r="K180" s="176"/>
      <c r="L180" s="176"/>
      <c r="M180" s="176"/>
      <c r="N180" s="176"/>
      <c r="O180" s="176"/>
      <c r="P180" s="176"/>
      <c r="Q180" s="176"/>
      <c r="R180" s="176"/>
      <c r="S180" s="176"/>
      <c r="T180" s="176"/>
      <c r="U180" s="176"/>
      <c r="V180" s="176"/>
      <c r="W180" s="176"/>
      <c r="X180" s="176"/>
      <c r="Y180" s="176"/>
      <c r="Z180" s="176"/>
      <c r="AA180" s="176"/>
      <c r="AB180" s="176"/>
      <c r="AC180" s="169"/>
    </row>
    <row r="181" spans="1:29" s="12" customFormat="1" x14ac:dyDescent="0.3">
      <c r="A181" s="169"/>
      <c r="B181" s="176"/>
      <c r="C181" s="176"/>
      <c r="D181" s="176"/>
      <c r="E181" s="176"/>
      <c r="F181" s="176"/>
      <c r="G181" s="176"/>
      <c r="H181" s="176"/>
      <c r="I181" s="176"/>
      <c r="J181" s="176"/>
      <c r="K181" s="176"/>
      <c r="L181" s="176"/>
      <c r="M181" s="176"/>
      <c r="N181" s="176"/>
      <c r="O181" s="176"/>
      <c r="P181" s="176"/>
      <c r="Q181" s="176"/>
      <c r="R181" s="176"/>
      <c r="S181" s="176"/>
      <c r="T181" s="176"/>
      <c r="U181" s="176"/>
      <c r="V181" s="176"/>
      <c r="W181" s="176"/>
      <c r="X181" s="176"/>
      <c r="Y181" s="176"/>
      <c r="Z181" s="176"/>
      <c r="AA181" s="176"/>
      <c r="AB181" s="176"/>
      <c r="AC181" s="169"/>
    </row>
    <row r="182" spans="1:29" s="12" customFormat="1" x14ac:dyDescent="0.3">
      <c r="A182" s="169"/>
      <c r="B182" s="176"/>
      <c r="C182" s="176"/>
      <c r="D182" s="176"/>
      <c r="E182" s="176"/>
      <c r="F182" s="176"/>
      <c r="G182" s="176"/>
      <c r="H182" s="176"/>
      <c r="I182" s="176"/>
      <c r="J182" s="176"/>
      <c r="K182" s="176"/>
      <c r="L182" s="176"/>
      <c r="M182" s="176"/>
      <c r="N182" s="176"/>
      <c r="O182" s="176"/>
      <c r="P182" s="176"/>
      <c r="Q182" s="176"/>
      <c r="R182" s="176"/>
      <c r="S182" s="176"/>
      <c r="T182" s="176"/>
      <c r="U182" s="176"/>
      <c r="V182" s="176"/>
      <c r="W182" s="176"/>
      <c r="X182" s="176"/>
      <c r="Y182" s="176"/>
      <c r="Z182" s="176"/>
      <c r="AA182" s="176"/>
      <c r="AB182" s="176"/>
      <c r="AC182" s="169"/>
    </row>
    <row r="183" spans="1:29" s="12" customFormat="1" x14ac:dyDescent="0.3">
      <c r="A183" s="169"/>
      <c r="B183" s="176"/>
      <c r="C183" s="176"/>
      <c r="D183" s="176"/>
      <c r="E183" s="176"/>
      <c r="F183" s="176"/>
      <c r="G183" s="176"/>
      <c r="H183" s="176"/>
      <c r="I183" s="176"/>
      <c r="J183" s="176"/>
      <c r="K183" s="176"/>
      <c r="L183" s="176"/>
      <c r="M183" s="176"/>
      <c r="N183" s="176"/>
      <c r="O183" s="176"/>
      <c r="P183" s="176"/>
      <c r="Q183" s="176"/>
      <c r="R183" s="176"/>
      <c r="S183" s="176"/>
      <c r="T183" s="176"/>
      <c r="U183" s="176"/>
      <c r="V183" s="176"/>
      <c r="W183" s="176"/>
      <c r="X183" s="176"/>
      <c r="Y183" s="176"/>
      <c r="Z183" s="176"/>
      <c r="AA183" s="176"/>
      <c r="AB183" s="176"/>
      <c r="AC183" s="169"/>
    </row>
    <row r="184" spans="1:29" s="12" customFormat="1" x14ac:dyDescent="0.3">
      <c r="A184" s="169"/>
      <c r="B184" s="176"/>
      <c r="C184" s="176"/>
      <c r="D184" s="176"/>
      <c r="E184" s="176"/>
      <c r="F184" s="176"/>
      <c r="G184" s="176"/>
      <c r="H184" s="176"/>
      <c r="I184" s="176"/>
      <c r="J184" s="176"/>
      <c r="K184" s="176"/>
      <c r="L184" s="176"/>
      <c r="M184" s="176"/>
      <c r="N184" s="176"/>
      <c r="O184" s="176"/>
      <c r="P184" s="176"/>
      <c r="Q184" s="176"/>
      <c r="R184" s="176"/>
      <c r="S184" s="176"/>
      <c r="T184" s="176"/>
      <c r="U184" s="176"/>
      <c r="V184" s="176"/>
      <c r="W184" s="176"/>
      <c r="X184" s="176"/>
      <c r="Y184" s="176"/>
      <c r="Z184" s="176"/>
      <c r="AA184" s="176"/>
      <c r="AB184" s="176"/>
      <c r="AC184" s="169"/>
    </row>
    <row r="185" spans="1:29" s="12" customFormat="1" x14ac:dyDescent="0.3">
      <c r="A185" s="169"/>
      <c r="B185" s="176"/>
      <c r="C185" s="176"/>
      <c r="D185" s="176"/>
      <c r="E185" s="176"/>
      <c r="F185" s="176"/>
      <c r="G185" s="176"/>
      <c r="H185" s="176"/>
      <c r="I185" s="176"/>
      <c r="J185" s="176"/>
      <c r="K185" s="176"/>
      <c r="L185" s="176"/>
      <c r="M185" s="176"/>
      <c r="N185" s="176"/>
      <c r="O185" s="176"/>
      <c r="P185" s="176"/>
      <c r="Q185" s="176"/>
      <c r="R185" s="176"/>
      <c r="S185" s="176"/>
      <c r="T185" s="176"/>
      <c r="U185" s="176"/>
      <c r="V185" s="176"/>
      <c r="W185" s="176"/>
      <c r="X185" s="176"/>
      <c r="Y185" s="176"/>
      <c r="Z185" s="176"/>
      <c r="AA185" s="176"/>
      <c r="AB185" s="176"/>
      <c r="AC185" s="169"/>
    </row>
    <row r="186" spans="1:29" s="12" customFormat="1" x14ac:dyDescent="0.3">
      <c r="A186" s="169"/>
      <c r="B186" s="176"/>
      <c r="C186" s="176"/>
      <c r="D186" s="176"/>
      <c r="E186" s="176"/>
      <c r="F186" s="176"/>
      <c r="G186" s="176"/>
      <c r="H186" s="176"/>
      <c r="I186" s="176"/>
      <c r="J186" s="176"/>
      <c r="K186" s="176"/>
      <c r="L186" s="176"/>
      <c r="M186" s="176"/>
      <c r="N186" s="176"/>
      <c r="O186" s="176"/>
      <c r="P186" s="176"/>
      <c r="Q186" s="176"/>
      <c r="R186" s="176"/>
      <c r="S186" s="176"/>
      <c r="T186" s="176"/>
      <c r="U186" s="176"/>
      <c r="V186" s="176"/>
      <c r="W186" s="176"/>
      <c r="X186" s="176"/>
      <c r="Y186" s="176"/>
      <c r="Z186" s="176"/>
      <c r="AA186" s="176"/>
      <c r="AB186" s="176"/>
      <c r="AC186" s="169"/>
    </row>
    <row r="187" spans="1:29" s="12" customFormat="1" x14ac:dyDescent="0.3">
      <c r="A187" s="169"/>
      <c r="B187" s="176"/>
      <c r="C187" s="176"/>
      <c r="D187" s="176"/>
      <c r="E187" s="176"/>
      <c r="F187" s="176"/>
      <c r="G187" s="176"/>
      <c r="H187" s="176"/>
      <c r="I187" s="176"/>
      <c r="J187" s="176"/>
      <c r="K187" s="176"/>
      <c r="L187" s="176"/>
      <c r="M187" s="176"/>
      <c r="N187" s="176"/>
      <c r="O187" s="176"/>
      <c r="P187" s="176"/>
      <c r="Q187" s="176"/>
      <c r="R187" s="176"/>
      <c r="S187" s="176"/>
      <c r="T187" s="176"/>
      <c r="U187" s="176"/>
      <c r="V187" s="176"/>
      <c r="W187" s="176"/>
      <c r="X187" s="176"/>
      <c r="Y187" s="176"/>
      <c r="Z187" s="176"/>
      <c r="AA187" s="176"/>
      <c r="AB187" s="176"/>
      <c r="AC187" s="169"/>
    </row>
    <row r="188" spans="1:29" s="12" customFormat="1" x14ac:dyDescent="0.3">
      <c r="A188" s="169"/>
      <c r="B188" s="176"/>
      <c r="C188" s="176"/>
      <c r="D188" s="176"/>
      <c r="E188" s="176"/>
      <c r="F188" s="176"/>
      <c r="G188" s="176"/>
      <c r="H188" s="176"/>
      <c r="I188" s="176"/>
      <c r="J188" s="176"/>
      <c r="K188" s="176"/>
      <c r="L188" s="176"/>
      <c r="M188" s="176"/>
      <c r="N188" s="176"/>
      <c r="O188" s="176"/>
      <c r="P188" s="176"/>
      <c r="Q188" s="176"/>
      <c r="R188" s="176"/>
      <c r="S188" s="176"/>
      <c r="T188" s="176"/>
      <c r="U188" s="176"/>
      <c r="V188" s="176"/>
      <c r="W188" s="176"/>
      <c r="X188" s="176"/>
      <c r="Y188" s="176"/>
      <c r="Z188" s="176"/>
      <c r="AA188" s="176"/>
      <c r="AB188" s="176"/>
      <c r="AC188" s="169"/>
    </row>
    <row r="189" spans="1:29" s="12" customFormat="1" x14ac:dyDescent="0.3">
      <c r="A189" s="169"/>
      <c r="B189" s="176"/>
      <c r="C189" s="176"/>
      <c r="D189" s="176"/>
      <c r="E189" s="176"/>
      <c r="F189" s="176"/>
      <c r="G189" s="176"/>
      <c r="H189" s="176"/>
      <c r="I189" s="176"/>
      <c r="J189" s="176"/>
      <c r="K189" s="176"/>
      <c r="L189" s="176"/>
      <c r="M189" s="176"/>
      <c r="N189" s="176"/>
      <c r="O189" s="176"/>
      <c r="P189" s="176"/>
      <c r="Q189" s="176"/>
      <c r="R189" s="176"/>
      <c r="S189" s="176"/>
      <c r="T189" s="176"/>
      <c r="U189" s="176"/>
      <c r="V189" s="176"/>
      <c r="W189" s="176"/>
      <c r="X189" s="176"/>
      <c r="Y189" s="176"/>
      <c r="Z189" s="176"/>
      <c r="AA189" s="176"/>
      <c r="AB189" s="176"/>
      <c r="AC189" s="169"/>
    </row>
    <row r="190" spans="1:29" s="12" customFormat="1" x14ac:dyDescent="0.3">
      <c r="A190" s="169"/>
      <c r="B190" s="176"/>
      <c r="C190" s="176"/>
      <c r="D190" s="176"/>
      <c r="E190" s="176"/>
      <c r="F190" s="176"/>
      <c r="G190" s="176"/>
      <c r="H190" s="176"/>
      <c r="I190" s="176"/>
      <c r="J190" s="176"/>
      <c r="K190" s="176"/>
      <c r="L190" s="176"/>
      <c r="M190" s="176"/>
      <c r="N190" s="176"/>
      <c r="O190" s="176"/>
      <c r="P190" s="176"/>
      <c r="Q190" s="176"/>
      <c r="R190" s="176"/>
      <c r="S190" s="176"/>
      <c r="T190" s="176"/>
      <c r="U190" s="176"/>
      <c r="V190" s="176"/>
      <c r="W190" s="176"/>
      <c r="X190" s="176"/>
      <c r="Y190" s="176"/>
      <c r="Z190" s="176"/>
      <c r="AA190" s="176"/>
      <c r="AB190" s="176"/>
      <c r="AC190" s="169"/>
    </row>
    <row r="191" spans="1:29" s="12" customFormat="1" x14ac:dyDescent="0.3">
      <c r="A191" s="169"/>
      <c r="B191" s="176"/>
      <c r="C191" s="176"/>
      <c r="D191" s="176"/>
      <c r="E191" s="176"/>
      <c r="F191" s="176"/>
      <c r="G191" s="176"/>
      <c r="H191" s="176"/>
      <c r="I191" s="176"/>
      <c r="J191" s="176"/>
      <c r="K191" s="176"/>
      <c r="L191" s="176"/>
      <c r="M191" s="176"/>
      <c r="N191" s="176"/>
      <c r="O191" s="176"/>
      <c r="P191" s="176"/>
      <c r="Q191" s="176"/>
      <c r="R191" s="176"/>
      <c r="S191" s="176"/>
      <c r="T191" s="176"/>
      <c r="U191" s="176"/>
      <c r="V191" s="176"/>
      <c r="W191" s="176"/>
      <c r="X191" s="176"/>
      <c r="Y191" s="176"/>
      <c r="Z191" s="176"/>
      <c r="AA191" s="176"/>
      <c r="AB191" s="176"/>
      <c r="AC191" s="169"/>
    </row>
    <row r="192" spans="1:29" s="12" customFormat="1" x14ac:dyDescent="0.3">
      <c r="A192" s="169"/>
      <c r="B192" s="176"/>
      <c r="C192" s="176"/>
      <c r="D192" s="176"/>
      <c r="E192" s="176"/>
      <c r="F192" s="176"/>
      <c r="G192" s="176"/>
      <c r="H192" s="176"/>
      <c r="I192" s="176"/>
      <c r="J192" s="176"/>
      <c r="K192" s="176"/>
      <c r="L192" s="176"/>
      <c r="M192" s="176"/>
      <c r="N192" s="176"/>
      <c r="O192" s="176"/>
      <c r="P192" s="176"/>
      <c r="Q192" s="176"/>
      <c r="R192" s="176"/>
      <c r="S192" s="176"/>
      <c r="T192" s="176"/>
      <c r="U192" s="176"/>
      <c r="V192" s="176"/>
      <c r="W192" s="176"/>
      <c r="X192" s="176"/>
      <c r="Y192" s="176"/>
      <c r="Z192" s="176"/>
      <c r="AA192" s="176"/>
      <c r="AB192" s="176"/>
      <c r="AC192" s="169"/>
    </row>
    <row r="193" spans="1:29" s="12" customFormat="1" x14ac:dyDescent="0.3">
      <c r="A193" s="169"/>
      <c r="B193" s="176"/>
      <c r="C193" s="176"/>
      <c r="D193" s="176"/>
      <c r="E193" s="176"/>
      <c r="F193" s="176"/>
      <c r="G193" s="176"/>
      <c r="H193" s="176"/>
      <c r="I193" s="176"/>
      <c r="J193" s="176"/>
      <c r="K193" s="176"/>
      <c r="L193" s="176"/>
      <c r="M193" s="176"/>
      <c r="N193" s="176"/>
      <c r="O193" s="176"/>
      <c r="P193" s="176"/>
      <c r="Q193" s="176"/>
      <c r="R193" s="176"/>
      <c r="S193" s="176"/>
      <c r="T193" s="176"/>
      <c r="U193" s="176"/>
      <c r="V193" s="176"/>
      <c r="W193" s="176"/>
      <c r="X193" s="176"/>
      <c r="Y193" s="176"/>
      <c r="Z193" s="176"/>
      <c r="AA193" s="176"/>
      <c r="AB193" s="176"/>
      <c r="AC193" s="169"/>
    </row>
    <row r="194" spans="1:29" s="12" customFormat="1" x14ac:dyDescent="0.3">
      <c r="A194" s="169"/>
      <c r="B194" s="176"/>
      <c r="C194" s="176"/>
      <c r="D194" s="176"/>
      <c r="E194" s="176"/>
      <c r="F194" s="176"/>
      <c r="G194" s="176"/>
      <c r="H194" s="176"/>
      <c r="I194" s="176"/>
      <c r="J194" s="176"/>
      <c r="K194" s="176"/>
      <c r="L194" s="176"/>
      <c r="M194" s="176"/>
      <c r="N194" s="176"/>
      <c r="O194" s="176"/>
      <c r="P194" s="176"/>
      <c r="Q194" s="176"/>
      <c r="R194" s="176"/>
      <c r="S194" s="176"/>
      <c r="T194" s="176"/>
      <c r="U194" s="176"/>
      <c r="V194" s="176"/>
      <c r="W194" s="176"/>
      <c r="X194" s="176"/>
      <c r="Y194" s="176"/>
      <c r="Z194" s="176"/>
      <c r="AA194" s="176"/>
      <c r="AB194" s="176"/>
      <c r="AC194" s="169"/>
    </row>
    <row r="195" spans="1:29" s="12" customFormat="1" x14ac:dyDescent="0.3">
      <c r="A195" s="169"/>
      <c r="B195" s="176"/>
      <c r="C195" s="176"/>
      <c r="D195" s="176"/>
      <c r="E195" s="176"/>
      <c r="F195" s="176"/>
      <c r="G195" s="176"/>
      <c r="H195" s="176"/>
      <c r="I195" s="176"/>
      <c r="J195" s="176"/>
      <c r="K195" s="176"/>
      <c r="L195" s="176"/>
      <c r="M195" s="176"/>
      <c r="N195" s="176"/>
      <c r="O195" s="176"/>
      <c r="P195" s="176"/>
      <c r="Q195" s="176"/>
      <c r="R195" s="176"/>
      <c r="S195" s="176"/>
      <c r="T195" s="176"/>
      <c r="U195" s="176"/>
      <c r="V195" s="176"/>
      <c r="W195" s="176"/>
      <c r="X195" s="176"/>
      <c r="Y195" s="176"/>
      <c r="Z195" s="176"/>
      <c r="AA195" s="176"/>
      <c r="AB195" s="176"/>
      <c r="AC195" s="169"/>
    </row>
    <row r="196" spans="1:29" s="12" customFormat="1" ht="20.25" customHeight="1" x14ac:dyDescent="0.3">
      <c r="A196" s="169"/>
      <c r="B196" s="169"/>
      <c r="C196" s="169"/>
      <c r="D196" s="169"/>
      <c r="E196" s="169"/>
      <c r="F196" s="169"/>
      <c r="G196" s="169"/>
      <c r="H196" s="169"/>
      <c r="I196" s="169"/>
      <c r="J196" s="169"/>
      <c r="K196" s="169"/>
      <c r="L196" s="169"/>
      <c r="M196" s="169"/>
      <c r="N196" s="169"/>
      <c r="O196" s="169"/>
      <c r="P196" s="169"/>
      <c r="Q196" s="169"/>
      <c r="R196" s="169"/>
      <c r="S196" s="169"/>
      <c r="T196" s="169"/>
      <c r="U196" s="169"/>
      <c r="V196" s="169"/>
      <c r="W196" s="169"/>
      <c r="X196" s="169"/>
      <c r="Y196" s="169"/>
      <c r="Z196" s="169"/>
      <c r="AA196" s="169"/>
      <c r="AB196" s="169"/>
      <c r="AC196" s="169"/>
    </row>
    <row r="197" spans="1:29" s="12" customFormat="1" x14ac:dyDescent="0.3">
      <c r="A197" s="169"/>
      <c r="B197" s="176"/>
      <c r="C197" s="176"/>
      <c r="D197" s="176"/>
      <c r="E197" s="176"/>
      <c r="F197" s="176"/>
      <c r="G197" s="176"/>
      <c r="H197" s="176"/>
      <c r="I197" s="176"/>
      <c r="J197" s="176"/>
      <c r="K197" s="176"/>
      <c r="L197" s="176"/>
      <c r="M197" s="176"/>
      <c r="N197" s="176"/>
      <c r="O197" s="176"/>
      <c r="P197" s="176"/>
      <c r="Q197" s="176"/>
      <c r="R197" s="176"/>
      <c r="S197" s="176"/>
      <c r="T197" s="176"/>
      <c r="U197" s="176"/>
      <c r="V197" s="176"/>
      <c r="W197" s="176"/>
      <c r="X197" s="176"/>
      <c r="Y197" s="176"/>
      <c r="Z197" s="176"/>
      <c r="AA197" s="176"/>
      <c r="AB197" s="176"/>
      <c r="AC197" s="169"/>
    </row>
    <row r="198" spans="1:29" s="12" customFormat="1" x14ac:dyDescent="0.3">
      <c r="A198" s="169"/>
      <c r="B198" s="176"/>
      <c r="C198" s="176"/>
      <c r="D198" s="176"/>
      <c r="E198" s="176"/>
      <c r="F198" s="176"/>
      <c r="G198" s="176"/>
      <c r="H198" s="176"/>
      <c r="I198" s="176"/>
      <c r="J198" s="176"/>
      <c r="K198" s="176"/>
      <c r="L198" s="176"/>
      <c r="M198" s="176"/>
      <c r="N198" s="176"/>
      <c r="O198" s="176"/>
      <c r="P198" s="176"/>
      <c r="Q198" s="176"/>
      <c r="R198" s="176"/>
      <c r="S198" s="176"/>
      <c r="T198" s="176"/>
      <c r="U198" s="176"/>
      <c r="V198" s="176"/>
      <c r="W198" s="176"/>
      <c r="X198" s="176"/>
      <c r="Y198" s="176"/>
      <c r="Z198" s="176"/>
      <c r="AA198" s="176"/>
      <c r="AB198" s="176"/>
      <c r="AC198" s="169"/>
    </row>
    <row r="199" spans="1:29" s="12" customFormat="1" x14ac:dyDescent="0.3">
      <c r="A199" s="169"/>
      <c r="B199" s="176"/>
      <c r="C199" s="176"/>
      <c r="D199" s="176"/>
      <c r="E199" s="176"/>
      <c r="F199" s="176"/>
      <c r="G199" s="176"/>
      <c r="H199" s="176"/>
      <c r="I199" s="176"/>
      <c r="J199" s="176"/>
      <c r="K199" s="176"/>
      <c r="L199" s="176"/>
      <c r="M199" s="176"/>
      <c r="N199" s="176"/>
      <c r="O199" s="176"/>
      <c r="P199" s="176"/>
      <c r="Q199" s="176"/>
      <c r="R199" s="176"/>
      <c r="S199" s="176"/>
      <c r="T199" s="176"/>
      <c r="U199" s="176"/>
      <c r="V199" s="176"/>
      <c r="W199" s="176"/>
      <c r="X199" s="176"/>
      <c r="Y199" s="176"/>
      <c r="Z199" s="176"/>
      <c r="AA199" s="176"/>
      <c r="AB199" s="176"/>
      <c r="AC199" s="169"/>
    </row>
    <row r="200" spans="1:29" s="12" customFormat="1" x14ac:dyDescent="0.3">
      <c r="A200" s="169"/>
      <c r="B200" s="176"/>
      <c r="C200" s="176"/>
      <c r="D200" s="176"/>
      <c r="E200" s="176"/>
      <c r="F200" s="176"/>
      <c r="G200" s="176"/>
      <c r="H200" s="176"/>
      <c r="I200" s="176"/>
      <c r="J200" s="176"/>
      <c r="K200" s="176"/>
      <c r="L200" s="176"/>
      <c r="M200" s="176"/>
      <c r="N200" s="176"/>
      <c r="O200" s="176"/>
      <c r="P200" s="176"/>
      <c r="Q200" s="176"/>
      <c r="R200" s="176"/>
      <c r="S200" s="176"/>
      <c r="T200" s="176"/>
      <c r="U200" s="176"/>
      <c r="V200" s="176"/>
      <c r="W200" s="176"/>
      <c r="X200" s="176"/>
      <c r="Y200" s="176"/>
      <c r="Z200" s="176"/>
      <c r="AA200" s="176"/>
      <c r="AB200" s="176"/>
      <c r="AC200" s="169"/>
    </row>
    <row r="201" spans="1:29" s="12" customFormat="1" x14ac:dyDescent="0.3">
      <c r="A201" s="169"/>
      <c r="B201" s="176"/>
      <c r="C201" s="176"/>
      <c r="D201" s="176"/>
      <c r="E201" s="176"/>
      <c r="F201" s="176"/>
      <c r="G201" s="176"/>
      <c r="H201" s="176"/>
      <c r="I201" s="176"/>
      <c r="J201" s="176"/>
      <c r="K201" s="176"/>
      <c r="L201" s="176"/>
      <c r="M201" s="176"/>
      <c r="N201" s="176"/>
      <c r="O201" s="176"/>
      <c r="P201" s="176"/>
      <c r="Q201" s="176"/>
      <c r="R201" s="176"/>
      <c r="S201" s="176"/>
      <c r="T201" s="176"/>
      <c r="U201" s="176"/>
      <c r="V201" s="176"/>
      <c r="W201" s="176"/>
      <c r="X201" s="176"/>
      <c r="Y201" s="176"/>
      <c r="Z201" s="176"/>
      <c r="AA201" s="176"/>
      <c r="AB201" s="176"/>
      <c r="AC201" s="169"/>
    </row>
    <row r="202" spans="1:29" s="12" customFormat="1" x14ac:dyDescent="0.3">
      <c r="A202" s="169"/>
      <c r="B202" s="176"/>
      <c r="C202" s="176"/>
      <c r="D202" s="176"/>
      <c r="E202" s="176"/>
      <c r="F202" s="176"/>
      <c r="G202" s="176"/>
      <c r="H202" s="176"/>
      <c r="I202" s="176"/>
      <c r="J202" s="176"/>
      <c r="K202" s="176"/>
      <c r="L202" s="176"/>
      <c r="M202" s="176"/>
      <c r="N202" s="176"/>
      <c r="O202" s="176"/>
      <c r="P202" s="176"/>
      <c r="Q202" s="176"/>
      <c r="R202" s="176"/>
      <c r="S202" s="176"/>
      <c r="T202" s="176"/>
      <c r="U202" s="176"/>
      <c r="V202" s="176"/>
      <c r="W202" s="176"/>
      <c r="X202" s="176"/>
      <c r="Y202" s="176"/>
      <c r="Z202" s="176"/>
      <c r="AA202" s="176"/>
      <c r="AB202" s="176"/>
      <c r="AC202" s="169"/>
    </row>
    <row r="203" spans="1:29" s="12" customFormat="1" x14ac:dyDescent="0.3">
      <c r="A203" s="169"/>
      <c r="B203" s="176"/>
      <c r="C203" s="176"/>
      <c r="D203" s="176"/>
      <c r="E203" s="176"/>
      <c r="F203" s="176"/>
      <c r="G203" s="176"/>
      <c r="H203" s="176"/>
      <c r="I203" s="176"/>
      <c r="J203" s="176"/>
      <c r="K203" s="176"/>
      <c r="L203" s="176"/>
      <c r="M203" s="176"/>
      <c r="N203" s="176"/>
      <c r="O203" s="176"/>
      <c r="P203" s="176"/>
      <c r="Q203" s="176"/>
      <c r="R203" s="176"/>
      <c r="S203" s="176"/>
      <c r="T203" s="176"/>
      <c r="U203" s="176"/>
      <c r="V203" s="176"/>
      <c r="W203" s="176"/>
      <c r="X203" s="176"/>
      <c r="Y203" s="176"/>
      <c r="Z203" s="176"/>
      <c r="AA203" s="176"/>
      <c r="AB203" s="176"/>
      <c r="AC203" s="169"/>
    </row>
    <row r="204" spans="1:29" s="12" customFormat="1" x14ac:dyDescent="0.3">
      <c r="A204" s="169"/>
      <c r="B204" s="176"/>
      <c r="C204" s="176"/>
      <c r="D204" s="176"/>
      <c r="E204" s="176"/>
      <c r="F204" s="176"/>
      <c r="G204" s="176"/>
      <c r="H204" s="176"/>
      <c r="I204" s="176"/>
      <c r="J204" s="176"/>
      <c r="K204" s="176"/>
      <c r="L204" s="176"/>
      <c r="M204" s="176"/>
      <c r="N204" s="176"/>
      <c r="O204" s="176"/>
      <c r="P204" s="176"/>
      <c r="Q204" s="176"/>
      <c r="R204" s="176"/>
      <c r="S204" s="176"/>
      <c r="T204" s="176"/>
      <c r="U204" s="176"/>
      <c r="V204" s="176"/>
      <c r="W204" s="176"/>
      <c r="X204" s="176"/>
      <c r="Y204" s="176"/>
      <c r="Z204" s="176"/>
      <c r="AA204" s="176"/>
      <c r="AB204" s="176"/>
      <c r="AC204" s="169"/>
    </row>
    <row r="205" spans="1:29" s="12" customFormat="1" x14ac:dyDescent="0.3">
      <c r="A205" s="169"/>
      <c r="B205" s="176"/>
      <c r="C205" s="176"/>
      <c r="D205" s="176"/>
      <c r="E205" s="176"/>
      <c r="F205" s="176"/>
      <c r="G205" s="176"/>
      <c r="H205" s="176"/>
      <c r="I205" s="176"/>
      <c r="J205" s="176"/>
      <c r="K205" s="176"/>
      <c r="L205" s="176"/>
      <c r="M205" s="176"/>
      <c r="N205" s="176"/>
      <c r="O205" s="176"/>
      <c r="P205" s="176"/>
      <c r="Q205" s="176"/>
      <c r="R205" s="176"/>
      <c r="S205" s="176"/>
      <c r="T205" s="176"/>
      <c r="U205" s="176"/>
      <c r="V205" s="176"/>
      <c r="W205" s="176"/>
      <c r="X205" s="176"/>
      <c r="Y205" s="176"/>
      <c r="Z205" s="176"/>
      <c r="AA205" s="176"/>
      <c r="AB205" s="176"/>
      <c r="AC205" s="169"/>
    </row>
    <row r="206" spans="1:29" s="12" customFormat="1" x14ac:dyDescent="0.3">
      <c r="A206" s="169"/>
      <c r="B206" s="176"/>
      <c r="C206" s="176"/>
      <c r="D206" s="176"/>
      <c r="E206" s="176"/>
      <c r="F206" s="176"/>
      <c r="G206" s="176"/>
      <c r="H206" s="176"/>
      <c r="I206" s="176"/>
      <c r="J206" s="176"/>
      <c r="K206" s="176"/>
      <c r="L206" s="176"/>
      <c r="M206" s="176"/>
      <c r="N206" s="176"/>
      <c r="O206" s="176"/>
      <c r="P206" s="176"/>
      <c r="Q206" s="176"/>
      <c r="R206" s="176"/>
      <c r="S206" s="176"/>
      <c r="T206" s="176"/>
      <c r="U206" s="176"/>
      <c r="V206" s="176"/>
      <c r="W206" s="176"/>
      <c r="X206" s="176"/>
      <c r="Y206" s="176"/>
      <c r="Z206" s="176"/>
      <c r="AA206" s="176"/>
      <c r="AB206" s="176"/>
      <c r="AC206" s="169"/>
    </row>
    <row r="207" spans="1:29" s="12" customFormat="1" x14ac:dyDescent="0.3">
      <c r="A207" s="169"/>
      <c r="B207" s="176"/>
      <c r="C207" s="176"/>
      <c r="D207" s="176"/>
      <c r="E207" s="176"/>
      <c r="F207" s="176"/>
      <c r="G207" s="176"/>
      <c r="H207" s="176"/>
      <c r="I207" s="176"/>
      <c r="J207" s="176"/>
      <c r="K207" s="176"/>
      <c r="L207" s="176"/>
      <c r="M207" s="176"/>
      <c r="N207" s="176"/>
      <c r="O207" s="176"/>
      <c r="P207" s="176"/>
      <c r="Q207" s="176"/>
      <c r="R207" s="176"/>
      <c r="S207" s="176"/>
      <c r="T207" s="176"/>
      <c r="U207" s="176"/>
      <c r="V207" s="176"/>
      <c r="W207" s="176"/>
      <c r="X207" s="176"/>
      <c r="Y207" s="176"/>
      <c r="Z207" s="176"/>
      <c r="AA207" s="176"/>
      <c r="AB207" s="176"/>
      <c r="AC207" s="169"/>
    </row>
    <row r="208" spans="1:29" s="12" customFormat="1" x14ac:dyDescent="0.3">
      <c r="A208" s="169"/>
      <c r="B208" s="176"/>
      <c r="C208" s="176"/>
      <c r="D208" s="176"/>
      <c r="E208" s="176"/>
      <c r="F208" s="176"/>
      <c r="G208" s="176"/>
      <c r="H208" s="176"/>
      <c r="I208" s="176"/>
      <c r="J208" s="176"/>
      <c r="K208" s="176"/>
      <c r="L208" s="176"/>
      <c r="M208" s="176"/>
      <c r="N208" s="176"/>
      <c r="O208" s="176"/>
      <c r="P208" s="176"/>
      <c r="Q208" s="176"/>
      <c r="R208" s="176"/>
      <c r="S208" s="176"/>
      <c r="T208" s="176"/>
      <c r="U208" s="176"/>
      <c r="V208" s="176"/>
      <c r="W208" s="176"/>
      <c r="X208" s="176"/>
      <c r="Y208" s="176"/>
      <c r="Z208" s="176"/>
      <c r="AA208" s="176"/>
      <c r="AB208" s="176"/>
      <c r="AC208" s="169"/>
    </row>
    <row r="209" spans="1:29" s="12" customFormat="1" x14ac:dyDescent="0.3">
      <c r="A209" s="169"/>
      <c r="B209" s="176"/>
      <c r="C209" s="176"/>
      <c r="D209" s="176"/>
      <c r="E209" s="176"/>
      <c r="F209" s="176"/>
      <c r="G209" s="176"/>
      <c r="H209" s="176"/>
      <c r="I209" s="176"/>
      <c r="J209" s="176"/>
      <c r="K209" s="176"/>
      <c r="L209" s="176"/>
      <c r="M209" s="176"/>
      <c r="N209" s="176"/>
      <c r="O209" s="176"/>
      <c r="P209" s="176"/>
      <c r="Q209" s="176"/>
      <c r="R209" s="176"/>
      <c r="S209" s="176"/>
      <c r="T209" s="176"/>
      <c r="U209" s="176"/>
      <c r="V209" s="176"/>
      <c r="W209" s="176"/>
      <c r="X209" s="176"/>
      <c r="Y209" s="176"/>
      <c r="Z209" s="176"/>
      <c r="AA209" s="176"/>
      <c r="AB209" s="176"/>
      <c r="AC209" s="169"/>
    </row>
    <row r="210" spans="1:29" s="12" customFormat="1" x14ac:dyDescent="0.3">
      <c r="A210" s="169"/>
      <c r="B210" s="176"/>
      <c r="C210" s="176"/>
      <c r="D210" s="176"/>
      <c r="E210" s="176"/>
      <c r="F210" s="176"/>
      <c r="G210" s="176"/>
      <c r="H210" s="176"/>
      <c r="I210" s="176"/>
      <c r="J210" s="176"/>
      <c r="K210" s="176"/>
      <c r="L210" s="176"/>
      <c r="M210" s="176"/>
      <c r="N210" s="176"/>
      <c r="O210" s="176"/>
      <c r="P210" s="176"/>
      <c r="Q210" s="176"/>
      <c r="R210" s="176"/>
      <c r="S210" s="176"/>
      <c r="T210" s="176"/>
      <c r="U210" s="176"/>
      <c r="V210" s="176"/>
      <c r="W210" s="176"/>
      <c r="X210" s="176"/>
      <c r="Y210" s="176"/>
      <c r="Z210" s="176"/>
      <c r="AA210" s="176"/>
      <c r="AB210" s="176"/>
      <c r="AC210" s="169"/>
    </row>
    <row r="211" spans="1:29" s="12" customFormat="1" x14ac:dyDescent="0.3">
      <c r="A211" s="169"/>
      <c r="B211" s="176"/>
      <c r="C211" s="176"/>
      <c r="D211" s="176"/>
      <c r="E211" s="176"/>
      <c r="F211" s="176"/>
      <c r="G211" s="176"/>
      <c r="H211" s="176"/>
      <c r="I211" s="176"/>
      <c r="J211" s="176"/>
      <c r="K211" s="176"/>
      <c r="L211" s="176"/>
      <c r="M211" s="176"/>
      <c r="N211" s="176"/>
      <c r="O211" s="176"/>
      <c r="P211" s="176"/>
      <c r="Q211" s="176"/>
      <c r="R211" s="176"/>
      <c r="S211" s="176"/>
      <c r="T211" s="176"/>
      <c r="U211" s="176"/>
      <c r="V211" s="176"/>
      <c r="W211" s="176"/>
      <c r="X211" s="176"/>
      <c r="Y211" s="176"/>
      <c r="Z211" s="176"/>
      <c r="AA211" s="176"/>
      <c r="AB211" s="176"/>
      <c r="AC211" s="169"/>
    </row>
    <row r="212" spans="1:29" s="12" customFormat="1" x14ac:dyDescent="0.3">
      <c r="A212" s="169"/>
      <c r="B212" s="176"/>
      <c r="C212" s="176"/>
      <c r="D212" s="176"/>
      <c r="E212" s="176"/>
      <c r="F212" s="176"/>
      <c r="G212" s="176"/>
      <c r="H212" s="176"/>
      <c r="I212" s="176"/>
      <c r="J212" s="176"/>
      <c r="K212" s="176"/>
      <c r="L212" s="176"/>
      <c r="M212" s="176"/>
      <c r="N212" s="176"/>
      <c r="O212" s="176"/>
      <c r="P212" s="176"/>
      <c r="Q212" s="176"/>
      <c r="R212" s="176"/>
      <c r="S212" s="176"/>
      <c r="T212" s="176"/>
      <c r="U212" s="176"/>
      <c r="V212" s="176"/>
      <c r="W212" s="176"/>
      <c r="X212" s="176"/>
      <c r="Y212" s="176"/>
      <c r="Z212" s="176"/>
      <c r="AA212" s="176"/>
      <c r="AB212" s="176"/>
      <c r="AC212" s="169"/>
    </row>
    <row r="213" spans="1:29" s="12" customFormat="1" x14ac:dyDescent="0.3">
      <c r="A213" s="169"/>
      <c r="B213" s="176"/>
      <c r="C213" s="176"/>
      <c r="D213" s="176"/>
      <c r="E213" s="176"/>
      <c r="F213" s="176"/>
      <c r="G213" s="176"/>
      <c r="H213" s="176"/>
      <c r="I213" s="176"/>
      <c r="J213" s="176"/>
      <c r="K213" s="176"/>
      <c r="L213" s="176"/>
      <c r="M213" s="176"/>
      <c r="N213" s="176"/>
      <c r="O213" s="176"/>
      <c r="P213" s="176"/>
      <c r="Q213" s="176"/>
      <c r="R213" s="176"/>
      <c r="S213" s="176"/>
      <c r="T213" s="176"/>
      <c r="U213" s="176"/>
      <c r="V213" s="176"/>
      <c r="W213" s="176"/>
      <c r="X213" s="176"/>
      <c r="Y213" s="176"/>
      <c r="Z213" s="176"/>
      <c r="AA213" s="176"/>
      <c r="AB213" s="176"/>
      <c r="AC213" s="169"/>
    </row>
    <row r="214" spans="1:29" s="12" customFormat="1" x14ac:dyDescent="0.3">
      <c r="A214" s="169"/>
      <c r="B214" s="176"/>
      <c r="C214" s="176"/>
      <c r="D214" s="176"/>
      <c r="E214" s="176"/>
      <c r="F214" s="176"/>
      <c r="G214" s="176"/>
      <c r="H214" s="176"/>
      <c r="I214" s="176"/>
      <c r="J214" s="176"/>
      <c r="K214" s="176"/>
      <c r="L214" s="176"/>
      <c r="M214" s="176"/>
      <c r="N214" s="176"/>
      <c r="O214" s="176"/>
      <c r="P214" s="176"/>
      <c r="Q214" s="176"/>
      <c r="R214" s="176"/>
      <c r="S214" s="176"/>
      <c r="T214" s="176"/>
      <c r="U214" s="176"/>
      <c r="V214" s="176"/>
      <c r="W214" s="176"/>
      <c r="X214" s="176"/>
      <c r="Y214" s="176"/>
      <c r="Z214" s="176"/>
      <c r="AA214" s="176"/>
      <c r="AB214" s="176"/>
      <c r="AC214" s="169"/>
    </row>
    <row r="215" spans="1:29" s="12" customFormat="1" x14ac:dyDescent="0.3">
      <c r="A215" s="169"/>
      <c r="B215" s="176"/>
      <c r="C215" s="176"/>
      <c r="D215" s="176"/>
      <c r="E215" s="176"/>
      <c r="F215" s="176"/>
      <c r="G215" s="176"/>
      <c r="H215" s="176"/>
      <c r="I215" s="176"/>
      <c r="J215" s="176"/>
      <c r="K215" s="176"/>
      <c r="L215" s="176"/>
      <c r="M215" s="176"/>
      <c r="N215" s="176"/>
      <c r="O215" s="176"/>
      <c r="P215" s="176"/>
      <c r="Q215" s="176"/>
      <c r="R215" s="176"/>
      <c r="S215" s="176"/>
      <c r="T215" s="176"/>
      <c r="U215" s="176"/>
      <c r="V215" s="176"/>
      <c r="W215" s="176"/>
      <c r="X215" s="176"/>
      <c r="Y215" s="176"/>
      <c r="Z215" s="176"/>
      <c r="AA215" s="176"/>
      <c r="AB215" s="176"/>
      <c r="AC215" s="169"/>
    </row>
    <row r="216" spans="1:29" s="12" customFormat="1" x14ac:dyDescent="0.3">
      <c r="A216" s="169"/>
      <c r="B216" s="176"/>
      <c r="C216" s="176"/>
      <c r="D216" s="176"/>
      <c r="E216" s="176"/>
      <c r="F216" s="176"/>
      <c r="G216" s="176"/>
      <c r="H216" s="176"/>
      <c r="I216" s="176"/>
      <c r="J216" s="176"/>
      <c r="K216" s="176"/>
      <c r="L216" s="176"/>
      <c r="M216" s="176"/>
      <c r="N216" s="176"/>
      <c r="O216" s="176"/>
      <c r="P216" s="176"/>
      <c r="Q216" s="176"/>
      <c r="R216" s="176"/>
      <c r="S216" s="176"/>
      <c r="T216" s="176"/>
      <c r="U216" s="176"/>
      <c r="V216" s="176"/>
      <c r="W216" s="176"/>
      <c r="X216" s="176"/>
      <c r="Y216" s="176"/>
      <c r="Z216" s="176"/>
      <c r="AA216" s="176"/>
      <c r="AB216" s="176"/>
      <c r="AC216" s="169"/>
    </row>
    <row r="217" spans="1:29" s="12" customFormat="1" x14ac:dyDescent="0.3">
      <c r="A217" s="169"/>
      <c r="B217" s="176"/>
      <c r="C217" s="176"/>
      <c r="D217" s="176"/>
      <c r="E217" s="176"/>
      <c r="F217" s="176"/>
      <c r="G217" s="176"/>
      <c r="H217" s="176"/>
      <c r="I217" s="176"/>
      <c r="J217" s="176"/>
      <c r="K217" s="176"/>
      <c r="L217" s="176"/>
      <c r="M217" s="176"/>
      <c r="N217" s="176"/>
      <c r="O217" s="176"/>
      <c r="P217" s="176"/>
      <c r="Q217" s="176"/>
      <c r="R217" s="176"/>
      <c r="S217" s="176"/>
      <c r="T217" s="176"/>
      <c r="U217" s="176"/>
      <c r="V217" s="176"/>
      <c r="W217" s="176"/>
      <c r="X217" s="176"/>
      <c r="Y217" s="176"/>
      <c r="Z217" s="176"/>
      <c r="AA217" s="176"/>
      <c r="AB217" s="176"/>
      <c r="AC217" s="169"/>
    </row>
    <row r="218" spans="1:29" s="12" customFormat="1" x14ac:dyDescent="0.3">
      <c r="A218" s="169"/>
      <c r="B218" s="176"/>
      <c r="C218" s="176"/>
      <c r="D218" s="176"/>
      <c r="E218" s="176"/>
      <c r="F218" s="176"/>
      <c r="G218" s="176"/>
      <c r="H218" s="176"/>
      <c r="I218" s="176"/>
      <c r="J218" s="176"/>
      <c r="K218" s="176"/>
      <c r="L218" s="176"/>
      <c r="M218" s="176"/>
      <c r="N218" s="176"/>
      <c r="O218" s="176"/>
      <c r="P218" s="176"/>
      <c r="Q218" s="176"/>
      <c r="R218" s="176"/>
      <c r="S218" s="176"/>
      <c r="T218" s="176"/>
      <c r="U218" s="176"/>
      <c r="V218" s="176"/>
      <c r="W218" s="176"/>
      <c r="X218" s="176"/>
      <c r="Y218" s="176"/>
      <c r="Z218" s="176"/>
      <c r="AA218" s="176"/>
      <c r="AB218" s="176"/>
      <c r="AC218" s="169"/>
    </row>
    <row r="219" spans="1:29" s="12" customFormat="1" x14ac:dyDescent="0.3">
      <c r="A219" s="169"/>
      <c r="B219" s="176"/>
      <c r="C219" s="176"/>
      <c r="D219" s="176"/>
      <c r="E219" s="176"/>
      <c r="F219" s="176"/>
      <c r="G219" s="176"/>
      <c r="H219" s="176"/>
      <c r="I219" s="176"/>
      <c r="J219" s="176"/>
      <c r="K219" s="176"/>
      <c r="L219" s="176"/>
      <c r="M219" s="176"/>
      <c r="N219" s="176"/>
      <c r="O219" s="176"/>
      <c r="P219" s="176"/>
      <c r="Q219" s="176"/>
      <c r="R219" s="176"/>
      <c r="S219" s="176"/>
      <c r="T219" s="176"/>
      <c r="U219" s="176"/>
      <c r="V219" s="176"/>
      <c r="W219" s="176"/>
      <c r="X219" s="176"/>
      <c r="Y219" s="176"/>
      <c r="Z219" s="176"/>
      <c r="AA219" s="176"/>
      <c r="AB219" s="176"/>
      <c r="AC219" s="169"/>
    </row>
    <row r="220" spans="1:29" s="12" customFormat="1" x14ac:dyDescent="0.3">
      <c r="A220" s="169"/>
      <c r="B220" s="176"/>
      <c r="C220" s="176"/>
      <c r="D220" s="176"/>
      <c r="E220" s="176"/>
      <c r="F220" s="176"/>
      <c r="G220" s="176"/>
      <c r="H220" s="176"/>
      <c r="I220" s="176"/>
      <c r="J220" s="176"/>
      <c r="K220" s="176"/>
      <c r="L220" s="176"/>
      <c r="M220" s="176"/>
      <c r="N220" s="176"/>
      <c r="O220" s="176"/>
      <c r="P220" s="176"/>
      <c r="Q220" s="176"/>
      <c r="R220" s="176"/>
      <c r="S220" s="176"/>
      <c r="T220" s="176"/>
      <c r="U220" s="176"/>
      <c r="V220" s="176"/>
      <c r="W220" s="176"/>
      <c r="X220" s="176"/>
      <c r="Y220" s="176"/>
      <c r="Z220" s="176"/>
      <c r="AA220" s="176"/>
      <c r="AB220" s="176"/>
      <c r="AC220" s="169"/>
    </row>
    <row r="221" spans="1:29" s="12" customFormat="1" x14ac:dyDescent="0.3">
      <c r="A221" s="169"/>
      <c r="B221" s="169"/>
      <c r="C221" s="169"/>
      <c r="D221" s="169"/>
      <c r="E221" s="169"/>
      <c r="F221" s="169"/>
      <c r="G221" s="169"/>
      <c r="H221" s="169"/>
      <c r="I221" s="169"/>
      <c r="J221" s="169"/>
      <c r="K221" s="169"/>
      <c r="L221" s="169"/>
      <c r="M221" s="169"/>
      <c r="N221" s="169"/>
      <c r="O221" s="169"/>
      <c r="P221" s="169"/>
      <c r="Q221" s="169"/>
      <c r="R221" s="169"/>
      <c r="S221" s="169"/>
      <c r="T221" s="169"/>
      <c r="U221" s="169"/>
      <c r="V221" s="169"/>
      <c r="W221" s="169"/>
      <c r="X221" s="169"/>
      <c r="Y221" s="169"/>
      <c r="Z221" s="169"/>
      <c r="AA221" s="169"/>
      <c r="AB221" s="169"/>
      <c r="AC221" s="169"/>
    </row>
    <row r="222" spans="1:29" s="12" customFormat="1" x14ac:dyDescent="0.3">
      <c r="A222" s="169"/>
      <c r="B222" s="169"/>
      <c r="C222" s="169"/>
      <c r="D222" s="169"/>
      <c r="E222" s="169"/>
      <c r="F222" s="169"/>
      <c r="G222" s="169"/>
      <c r="H222" s="169"/>
      <c r="I222" s="169"/>
      <c r="J222" s="169"/>
      <c r="K222" s="169"/>
      <c r="L222" s="169"/>
      <c r="M222" s="169"/>
      <c r="N222" s="169"/>
      <c r="O222" s="169"/>
      <c r="P222" s="169"/>
      <c r="Q222" s="169"/>
      <c r="R222" s="169"/>
      <c r="S222" s="169"/>
      <c r="T222" s="169"/>
      <c r="U222" s="169"/>
      <c r="V222" s="169"/>
      <c r="W222" s="169"/>
      <c r="X222" s="169"/>
      <c r="Y222" s="169"/>
      <c r="Z222" s="169"/>
      <c r="AA222" s="169"/>
      <c r="AB222" s="169"/>
      <c r="AC222" s="169"/>
    </row>
    <row r="223" spans="1:29" s="12" customFormat="1" x14ac:dyDescent="0.3">
      <c r="A223" s="169"/>
      <c r="B223" s="169"/>
      <c r="C223" s="169"/>
      <c r="D223" s="169"/>
      <c r="E223" s="169"/>
      <c r="F223" s="169"/>
      <c r="G223" s="169"/>
      <c r="H223" s="169"/>
      <c r="I223" s="169"/>
      <c r="J223" s="169"/>
      <c r="K223" s="169"/>
      <c r="L223" s="169"/>
      <c r="M223" s="169"/>
      <c r="N223" s="169"/>
      <c r="O223" s="169"/>
      <c r="P223" s="169"/>
      <c r="Q223" s="169"/>
      <c r="R223" s="169"/>
      <c r="S223" s="169"/>
      <c r="T223" s="169"/>
      <c r="U223" s="169"/>
      <c r="V223" s="169"/>
      <c r="W223" s="169"/>
      <c r="X223" s="169"/>
      <c r="Y223" s="169"/>
      <c r="Z223" s="169"/>
      <c r="AA223" s="169"/>
      <c r="AB223" s="169"/>
      <c r="AC223" s="169"/>
    </row>
    <row r="224" spans="1:29" s="12" customFormat="1" hidden="1" x14ac:dyDescent="0.3">
      <c r="A224" s="169"/>
      <c r="B224" s="169"/>
      <c r="C224" s="169"/>
      <c r="D224" s="169"/>
      <c r="E224" s="169"/>
      <c r="F224" s="169"/>
      <c r="G224" s="169"/>
      <c r="H224" s="169"/>
      <c r="I224" s="169"/>
      <c r="J224" s="169"/>
      <c r="K224" s="169"/>
      <c r="L224" s="169"/>
      <c r="M224" s="169"/>
      <c r="N224" s="169"/>
      <c r="O224" s="169"/>
      <c r="P224" s="169"/>
      <c r="Q224" s="169"/>
      <c r="R224" s="169"/>
      <c r="S224" s="169"/>
      <c r="T224" s="169"/>
      <c r="U224" s="169"/>
      <c r="V224" s="169"/>
      <c r="W224" s="169"/>
      <c r="X224" s="169"/>
      <c r="Y224" s="169"/>
      <c r="Z224" s="169"/>
      <c r="AA224" s="169"/>
      <c r="AB224" s="169"/>
      <c r="AC224" s="169"/>
    </row>
    <row r="225" spans="1:29" s="12" customFormat="1" hidden="1" x14ac:dyDescent="0.3">
      <c r="A225" s="169"/>
      <c r="B225" s="169"/>
      <c r="C225" s="169"/>
      <c r="D225" s="169"/>
      <c r="E225" s="169"/>
      <c r="F225" s="169"/>
      <c r="G225" s="169"/>
      <c r="H225" s="169"/>
      <c r="I225" s="169"/>
      <c r="J225" s="169"/>
      <c r="K225" s="169"/>
      <c r="L225" s="169"/>
      <c r="M225" s="169"/>
      <c r="N225" s="169"/>
      <c r="O225" s="169"/>
      <c r="P225" s="169"/>
      <c r="Q225" s="169"/>
      <c r="R225" s="169"/>
      <c r="S225" s="169"/>
      <c r="T225" s="169"/>
      <c r="U225" s="169"/>
      <c r="V225" s="169"/>
      <c r="W225" s="169"/>
      <c r="X225" s="169"/>
      <c r="Y225" s="169"/>
      <c r="Z225" s="169"/>
      <c r="AA225" s="169"/>
      <c r="AB225" s="169"/>
      <c r="AC225" s="169"/>
    </row>
    <row r="226" spans="1:29" s="12" customFormat="1" hidden="1" x14ac:dyDescent="0.3">
      <c r="A226" s="169"/>
      <c r="B226" s="169"/>
      <c r="C226" s="169"/>
      <c r="D226" s="169"/>
      <c r="E226" s="169"/>
      <c r="F226" s="169"/>
      <c r="G226" s="169"/>
      <c r="H226" s="169"/>
      <c r="I226" s="169"/>
      <c r="J226" s="169"/>
      <c r="K226" s="169"/>
      <c r="L226" s="169"/>
      <c r="M226" s="169"/>
      <c r="N226" s="169"/>
      <c r="O226" s="169"/>
      <c r="P226" s="169"/>
      <c r="Q226" s="169"/>
      <c r="R226" s="169"/>
      <c r="S226" s="169"/>
      <c r="T226" s="169"/>
      <c r="U226" s="169"/>
      <c r="V226" s="169"/>
      <c r="W226" s="169"/>
      <c r="X226" s="169"/>
      <c r="Y226" s="169"/>
      <c r="Z226" s="169"/>
      <c r="AA226" s="169"/>
      <c r="AB226" s="169"/>
      <c r="AC226" s="169"/>
    </row>
    <row r="227" spans="1:29" s="12" customFormat="1" hidden="1" x14ac:dyDescent="0.3">
      <c r="A227" s="169"/>
      <c r="B227" s="169"/>
      <c r="C227" s="169"/>
      <c r="D227" s="169"/>
      <c r="E227" s="169"/>
      <c r="F227" s="169"/>
      <c r="G227" s="169"/>
      <c r="H227" s="169"/>
      <c r="I227" s="169"/>
      <c r="J227" s="169"/>
      <c r="K227" s="169"/>
      <c r="L227" s="169"/>
      <c r="M227" s="169"/>
      <c r="N227" s="169"/>
      <c r="O227" s="169"/>
      <c r="P227" s="169"/>
      <c r="Q227" s="169"/>
      <c r="R227" s="169"/>
      <c r="S227" s="169"/>
      <c r="T227" s="169"/>
      <c r="U227" s="169"/>
      <c r="V227" s="169"/>
      <c r="W227" s="169"/>
      <c r="X227" s="169"/>
      <c r="Y227" s="169"/>
      <c r="Z227" s="169"/>
      <c r="AA227" s="169"/>
      <c r="AB227" s="169"/>
      <c r="AC227" s="169"/>
    </row>
    <row r="228" spans="1:29" s="12" customFormat="1" hidden="1" x14ac:dyDescent="0.3">
      <c r="A228" s="169"/>
      <c r="B228" s="169"/>
      <c r="C228" s="169"/>
      <c r="D228" s="169"/>
      <c r="E228" s="169"/>
      <c r="F228" s="169"/>
      <c r="G228" s="169"/>
      <c r="H228" s="169"/>
      <c r="I228" s="169"/>
      <c r="J228" s="169"/>
      <c r="K228" s="169"/>
      <c r="L228" s="169"/>
      <c r="M228" s="169"/>
      <c r="N228" s="169"/>
      <c r="O228" s="169"/>
      <c r="P228" s="169"/>
      <c r="Q228" s="169"/>
      <c r="R228" s="169"/>
      <c r="S228" s="169"/>
      <c r="T228" s="169"/>
      <c r="U228" s="169"/>
      <c r="V228" s="169"/>
      <c r="W228" s="169"/>
      <c r="X228" s="169"/>
      <c r="Y228" s="169"/>
      <c r="Z228" s="169"/>
      <c r="AA228" s="169"/>
      <c r="AB228" s="169"/>
      <c r="AC228" s="169"/>
    </row>
    <row r="229" spans="1:29" s="12" customFormat="1" hidden="1" x14ac:dyDescent="0.3">
      <c r="A229" s="169"/>
      <c r="B229" s="169"/>
      <c r="C229" s="169"/>
      <c r="D229" s="169"/>
      <c r="E229" s="169"/>
      <c r="F229" s="169"/>
      <c r="G229" s="169"/>
      <c r="H229" s="169"/>
      <c r="I229" s="169"/>
      <c r="J229" s="169"/>
      <c r="K229" s="169"/>
      <c r="L229" s="169"/>
      <c r="M229" s="169"/>
      <c r="N229" s="169"/>
      <c r="O229" s="169"/>
      <c r="P229" s="169"/>
      <c r="Q229" s="169"/>
      <c r="R229" s="169"/>
      <c r="S229" s="169"/>
      <c r="T229" s="169"/>
      <c r="U229" s="169"/>
      <c r="V229" s="169"/>
      <c r="W229" s="169"/>
      <c r="X229" s="169"/>
      <c r="Y229" s="169"/>
      <c r="Z229" s="169"/>
      <c r="AA229" s="169"/>
      <c r="AB229" s="169"/>
      <c r="AC229" s="169"/>
    </row>
    <row r="230" spans="1:29" s="12" customFormat="1" hidden="1" x14ac:dyDescent="0.3">
      <c r="A230" s="169"/>
      <c r="B230" s="169"/>
      <c r="C230" s="169"/>
      <c r="D230" s="169"/>
      <c r="E230" s="169"/>
      <c r="F230" s="169"/>
      <c r="G230" s="169"/>
      <c r="H230" s="169"/>
      <c r="I230" s="169"/>
      <c r="J230" s="169"/>
      <c r="K230" s="169"/>
      <c r="L230" s="169"/>
      <c r="M230" s="169"/>
      <c r="N230" s="169"/>
      <c r="O230" s="169"/>
      <c r="P230" s="169"/>
      <c r="Q230" s="169"/>
      <c r="R230" s="169"/>
      <c r="S230" s="169"/>
      <c r="T230" s="169"/>
      <c r="U230" s="169"/>
      <c r="V230" s="169"/>
      <c r="W230" s="169"/>
      <c r="X230" s="169"/>
      <c r="Y230" s="169"/>
      <c r="Z230" s="169"/>
      <c r="AA230" s="169"/>
      <c r="AB230" s="169"/>
      <c r="AC230" s="169"/>
    </row>
    <row r="231" spans="1:29" s="12" customFormat="1" hidden="1" x14ac:dyDescent="0.3">
      <c r="A231" s="169"/>
      <c r="B231" s="169"/>
      <c r="C231" s="169"/>
      <c r="D231" s="169"/>
      <c r="E231" s="169"/>
      <c r="F231" s="169"/>
      <c r="G231" s="169"/>
      <c r="H231" s="169"/>
      <c r="I231" s="169"/>
      <c r="J231" s="169"/>
      <c r="K231" s="169"/>
      <c r="L231" s="169"/>
      <c r="M231" s="169"/>
      <c r="N231" s="169"/>
      <c r="O231" s="169"/>
      <c r="P231" s="169"/>
      <c r="Q231" s="169"/>
      <c r="R231" s="169"/>
      <c r="S231" s="169"/>
      <c r="T231" s="169"/>
      <c r="U231" s="169"/>
      <c r="V231" s="169"/>
      <c r="W231" s="169"/>
      <c r="X231" s="169"/>
      <c r="Y231" s="169"/>
      <c r="Z231" s="169"/>
      <c r="AA231" s="169"/>
      <c r="AB231" s="169"/>
      <c r="AC231" s="169"/>
    </row>
    <row r="232" spans="1:29" s="12" customFormat="1" hidden="1" x14ac:dyDescent="0.3">
      <c r="A232" s="169"/>
      <c r="B232" s="169"/>
      <c r="C232" s="169"/>
      <c r="D232" s="169"/>
      <c r="E232" s="169"/>
      <c r="F232" s="169"/>
      <c r="G232" s="169"/>
      <c r="H232" s="169"/>
      <c r="I232" s="169"/>
      <c r="J232" s="169"/>
      <c r="K232" s="169"/>
      <c r="L232" s="169"/>
      <c r="M232" s="169"/>
      <c r="N232" s="169"/>
      <c r="O232" s="169"/>
      <c r="P232" s="169"/>
      <c r="Q232" s="169"/>
      <c r="R232" s="169"/>
      <c r="S232" s="169"/>
      <c r="T232" s="169"/>
      <c r="U232" s="169"/>
      <c r="V232" s="169"/>
      <c r="W232" s="169"/>
      <c r="X232" s="169"/>
      <c r="Y232" s="169"/>
      <c r="Z232" s="169"/>
      <c r="AA232" s="169"/>
      <c r="AB232" s="169"/>
      <c r="AC232" s="169"/>
    </row>
    <row r="233" spans="1:29" s="12" customFormat="1" hidden="1" x14ac:dyDescent="0.3">
      <c r="A233" s="169"/>
      <c r="B233" s="169"/>
      <c r="C233" s="169"/>
      <c r="D233" s="169"/>
      <c r="E233" s="169"/>
      <c r="F233" s="169"/>
      <c r="G233" s="169"/>
      <c r="H233" s="169"/>
      <c r="I233" s="169"/>
      <c r="J233" s="169"/>
      <c r="K233" s="169"/>
      <c r="L233" s="169"/>
      <c r="M233" s="169"/>
      <c r="N233" s="169"/>
      <c r="O233" s="169"/>
      <c r="P233" s="169"/>
      <c r="Q233" s="169"/>
      <c r="R233" s="169"/>
      <c r="S233" s="169"/>
      <c r="T233" s="169"/>
      <c r="U233" s="169"/>
      <c r="V233" s="169"/>
      <c r="W233" s="169"/>
      <c r="X233" s="169"/>
      <c r="Y233" s="169"/>
      <c r="Z233" s="169"/>
      <c r="AA233" s="169"/>
      <c r="AB233" s="169"/>
      <c r="AC233" s="169"/>
    </row>
    <row r="234" spans="1:29" s="12" customFormat="1" hidden="1" x14ac:dyDescent="0.3">
      <c r="A234" s="169"/>
      <c r="B234" s="169"/>
      <c r="C234" s="169"/>
      <c r="D234" s="169"/>
      <c r="E234" s="169"/>
      <c r="F234" s="169"/>
      <c r="G234" s="169"/>
      <c r="H234" s="169"/>
      <c r="I234" s="169"/>
      <c r="J234" s="169"/>
      <c r="K234" s="169"/>
      <c r="L234" s="169"/>
      <c r="M234" s="169"/>
      <c r="N234" s="169"/>
      <c r="O234" s="169"/>
      <c r="P234" s="169"/>
      <c r="Q234" s="169"/>
      <c r="R234" s="169"/>
      <c r="S234" s="169"/>
      <c r="T234" s="169"/>
      <c r="U234" s="169"/>
      <c r="V234" s="169"/>
      <c r="W234" s="169"/>
      <c r="X234" s="169"/>
      <c r="Y234" s="169"/>
      <c r="Z234" s="169"/>
      <c r="AA234" s="169"/>
      <c r="AB234" s="169"/>
      <c r="AC234" s="169"/>
    </row>
    <row r="235" spans="1:29" s="12" customFormat="1" hidden="1" x14ac:dyDescent="0.3">
      <c r="A235" s="169"/>
      <c r="B235" s="169"/>
      <c r="C235" s="169"/>
      <c r="D235" s="169"/>
      <c r="E235" s="169"/>
      <c r="F235" s="169"/>
      <c r="G235" s="169"/>
      <c r="H235" s="169"/>
      <c r="I235" s="169"/>
      <c r="J235" s="169"/>
      <c r="K235" s="169"/>
      <c r="L235" s="169"/>
      <c r="M235" s="169"/>
      <c r="N235" s="169"/>
      <c r="O235" s="169"/>
      <c r="P235" s="169"/>
      <c r="Q235" s="169"/>
      <c r="R235" s="169"/>
      <c r="S235" s="169"/>
      <c r="T235" s="169"/>
      <c r="U235" s="169"/>
      <c r="V235" s="169"/>
      <c r="W235" s="169"/>
      <c r="X235" s="169"/>
      <c r="Y235" s="169"/>
      <c r="Z235" s="169"/>
      <c r="AA235" s="169"/>
      <c r="AB235" s="169"/>
      <c r="AC235" s="169"/>
    </row>
    <row r="236" spans="1:29" s="12" customFormat="1" hidden="1" x14ac:dyDescent="0.3">
      <c r="A236" s="169"/>
      <c r="B236" s="169"/>
      <c r="C236" s="169"/>
      <c r="D236" s="169"/>
      <c r="E236" s="169"/>
      <c r="F236" s="169"/>
      <c r="G236" s="169"/>
      <c r="H236" s="169"/>
      <c r="I236" s="169"/>
      <c r="J236" s="169"/>
      <c r="K236" s="169"/>
      <c r="L236" s="169"/>
      <c r="M236" s="169"/>
      <c r="N236" s="169"/>
      <c r="O236" s="169"/>
      <c r="P236" s="169"/>
      <c r="Q236" s="169"/>
      <c r="R236" s="169"/>
      <c r="S236" s="169"/>
      <c r="T236" s="169"/>
      <c r="U236" s="169"/>
      <c r="V236" s="169"/>
      <c r="W236" s="169"/>
      <c r="X236" s="169"/>
      <c r="Y236" s="169"/>
      <c r="Z236" s="169"/>
      <c r="AA236" s="169"/>
      <c r="AB236" s="169"/>
      <c r="AC236" s="169"/>
    </row>
    <row r="237" spans="1:29" s="12" customFormat="1" hidden="1" x14ac:dyDescent="0.3">
      <c r="A237" s="169"/>
      <c r="B237" s="169"/>
      <c r="C237" s="169"/>
      <c r="D237" s="169"/>
      <c r="E237" s="169"/>
      <c r="F237" s="169"/>
      <c r="G237" s="169"/>
      <c r="H237" s="169"/>
      <c r="I237" s="169"/>
      <c r="J237" s="169"/>
      <c r="K237" s="169"/>
      <c r="L237" s="169"/>
      <c r="M237" s="169"/>
      <c r="N237" s="169"/>
      <c r="O237" s="169"/>
      <c r="P237" s="169"/>
      <c r="Q237" s="169"/>
      <c r="R237" s="169"/>
      <c r="S237" s="169"/>
      <c r="T237" s="169"/>
      <c r="U237" s="169"/>
      <c r="V237" s="169"/>
      <c r="W237" s="169"/>
      <c r="X237" s="169"/>
      <c r="Y237" s="169"/>
      <c r="Z237" s="169"/>
      <c r="AA237" s="169"/>
      <c r="AB237" s="169"/>
      <c r="AC237" s="169"/>
    </row>
    <row r="238" spans="1:29" s="12" customFormat="1" hidden="1" x14ac:dyDescent="0.3">
      <c r="A238" s="169"/>
      <c r="B238" s="169"/>
      <c r="C238" s="169"/>
      <c r="D238" s="169"/>
      <c r="E238" s="169"/>
      <c r="F238" s="169"/>
      <c r="G238" s="169"/>
      <c r="H238" s="169"/>
      <c r="I238" s="169"/>
      <c r="J238" s="169"/>
      <c r="K238" s="169"/>
      <c r="L238" s="169"/>
      <c r="M238" s="169"/>
      <c r="N238" s="169"/>
      <c r="O238" s="169"/>
      <c r="P238" s="169"/>
      <c r="Q238" s="169"/>
      <c r="R238" s="169"/>
      <c r="S238" s="169"/>
      <c r="T238" s="169"/>
      <c r="U238" s="169"/>
      <c r="V238" s="169"/>
      <c r="W238" s="169"/>
      <c r="X238" s="169"/>
      <c r="Y238" s="169"/>
      <c r="Z238" s="169"/>
      <c r="AA238" s="169"/>
      <c r="AB238" s="169"/>
      <c r="AC238" s="169"/>
    </row>
    <row r="239" spans="1:29" s="12" customFormat="1" hidden="1" x14ac:dyDescent="0.3">
      <c r="A239" s="169"/>
      <c r="B239" s="169"/>
      <c r="C239" s="169"/>
      <c r="D239" s="169"/>
      <c r="E239" s="169"/>
      <c r="F239" s="169"/>
      <c r="G239" s="169"/>
      <c r="H239" s="169"/>
      <c r="I239" s="169"/>
      <c r="J239" s="169"/>
      <c r="K239" s="169"/>
      <c r="L239" s="169"/>
      <c r="M239" s="169"/>
      <c r="N239" s="169"/>
      <c r="O239" s="169"/>
      <c r="P239" s="169"/>
      <c r="Q239" s="169"/>
      <c r="R239" s="169"/>
      <c r="S239" s="169"/>
      <c r="T239" s="169"/>
      <c r="U239" s="169"/>
      <c r="V239" s="169"/>
      <c r="W239" s="169"/>
      <c r="X239" s="169"/>
      <c r="Y239" s="169"/>
      <c r="Z239" s="169"/>
      <c r="AA239" s="169"/>
      <c r="AB239" s="169"/>
      <c r="AC239" s="169"/>
    </row>
    <row r="240" spans="1:29" s="12" customFormat="1" hidden="1" x14ac:dyDescent="0.3">
      <c r="A240" s="169"/>
      <c r="B240" s="169"/>
      <c r="C240" s="169"/>
      <c r="D240" s="169"/>
      <c r="E240" s="169"/>
      <c r="F240" s="169"/>
      <c r="G240" s="169"/>
      <c r="H240" s="169"/>
      <c r="I240" s="169"/>
      <c r="J240" s="169"/>
      <c r="K240" s="169"/>
      <c r="L240" s="169"/>
      <c r="M240" s="169"/>
      <c r="N240" s="169"/>
      <c r="O240" s="169"/>
      <c r="P240" s="169"/>
      <c r="Q240" s="169"/>
      <c r="R240" s="169"/>
      <c r="S240" s="169"/>
      <c r="T240" s="169"/>
      <c r="U240" s="169"/>
      <c r="V240" s="169"/>
      <c r="W240" s="169"/>
      <c r="X240" s="169"/>
      <c r="Y240" s="169"/>
      <c r="Z240" s="169"/>
      <c r="AA240" s="169"/>
      <c r="AB240" s="169"/>
      <c r="AC240" s="169"/>
    </row>
    <row r="241" spans="1:29" s="12" customFormat="1" hidden="1" x14ac:dyDescent="0.3">
      <c r="A241" s="169"/>
      <c r="B241" s="169"/>
      <c r="C241" s="169"/>
      <c r="D241" s="169"/>
      <c r="E241" s="169"/>
      <c r="F241" s="169"/>
      <c r="G241" s="169"/>
      <c r="H241" s="169"/>
      <c r="I241" s="169"/>
      <c r="J241" s="169"/>
      <c r="K241" s="169"/>
      <c r="L241" s="169"/>
      <c r="M241" s="169"/>
      <c r="N241" s="169"/>
      <c r="O241" s="169"/>
      <c r="P241" s="169"/>
      <c r="Q241" s="169"/>
      <c r="R241" s="169"/>
      <c r="S241" s="169"/>
      <c r="T241" s="169"/>
      <c r="U241" s="169"/>
      <c r="V241" s="169"/>
      <c r="W241" s="169"/>
      <c r="X241" s="169"/>
      <c r="Y241" s="169"/>
      <c r="Z241" s="169"/>
      <c r="AA241" s="169"/>
      <c r="AB241" s="169"/>
      <c r="AC241" s="169"/>
    </row>
    <row r="242" spans="1:29" s="12" customFormat="1" hidden="1" x14ac:dyDescent="0.3">
      <c r="A242" s="169"/>
      <c r="B242" s="169"/>
      <c r="C242" s="169"/>
      <c r="D242" s="169"/>
      <c r="E242" s="169"/>
      <c r="F242" s="169"/>
      <c r="G242" s="169"/>
      <c r="H242" s="169"/>
      <c r="I242" s="169"/>
      <c r="J242" s="169"/>
      <c r="K242" s="169"/>
      <c r="L242" s="169"/>
      <c r="M242" s="169"/>
      <c r="N242" s="169"/>
      <c r="O242" s="169"/>
      <c r="P242" s="169"/>
      <c r="Q242" s="169"/>
      <c r="R242" s="169"/>
      <c r="S242" s="169"/>
      <c r="T242" s="169"/>
      <c r="U242" s="169"/>
      <c r="V242" s="169"/>
      <c r="W242" s="169"/>
      <c r="X242" s="169"/>
      <c r="Y242" s="169"/>
      <c r="Z242" s="169"/>
      <c r="AA242" s="169"/>
      <c r="AB242" s="169"/>
      <c r="AC242" s="169"/>
    </row>
    <row r="243" spans="1:29" s="12" customFormat="1" hidden="1" x14ac:dyDescent="0.3">
      <c r="A243" s="169"/>
      <c r="B243" s="169"/>
      <c r="C243" s="169"/>
      <c r="D243" s="169"/>
      <c r="E243" s="169"/>
      <c r="F243" s="169"/>
      <c r="G243" s="169"/>
      <c r="H243" s="169"/>
      <c r="I243" s="169"/>
      <c r="J243" s="169"/>
      <c r="K243" s="169"/>
      <c r="L243" s="169"/>
      <c r="M243" s="169"/>
      <c r="N243" s="169"/>
      <c r="O243" s="169"/>
      <c r="P243" s="169"/>
      <c r="Q243" s="169"/>
      <c r="R243" s="169"/>
      <c r="S243" s="169"/>
      <c r="T243" s="169"/>
      <c r="U243" s="169"/>
      <c r="V243" s="169"/>
      <c r="W243" s="169"/>
      <c r="X243" s="169"/>
      <c r="Y243" s="169"/>
      <c r="Z243" s="169"/>
      <c r="AA243" s="169"/>
      <c r="AB243" s="169"/>
      <c r="AC243" s="169"/>
    </row>
    <row r="244" spans="1:29" s="12" customFormat="1" hidden="1" x14ac:dyDescent="0.3">
      <c r="A244" s="169"/>
      <c r="B244" s="169"/>
      <c r="C244" s="169"/>
      <c r="D244" s="169"/>
      <c r="E244" s="169"/>
      <c r="F244" s="169"/>
      <c r="G244" s="169"/>
      <c r="H244" s="169"/>
      <c r="I244" s="169"/>
      <c r="J244" s="169"/>
      <c r="K244" s="169"/>
      <c r="L244" s="169"/>
      <c r="M244" s="169"/>
      <c r="N244" s="169"/>
      <c r="O244" s="169"/>
      <c r="P244" s="169"/>
      <c r="Q244" s="169"/>
      <c r="R244" s="169"/>
      <c r="S244" s="169"/>
      <c r="T244" s="169"/>
      <c r="U244" s="169"/>
      <c r="V244" s="169"/>
      <c r="W244" s="169"/>
      <c r="X244" s="169"/>
      <c r="Y244" s="169"/>
      <c r="Z244" s="169"/>
      <c r="AA244" s="169"/>
      <c r="AB244" s="169"/>
      <c r="AC244" s="169"/>
    </row>
    <row r="245" spans="1:29" s="12" customFormat="1" hidden="1" x14ac:dyDescent="0.3">
      <c r="A245" s="169"/>
      <c r="B245" s="169"/>
      <c r="C245" s="169"/>
      <c r="D245" s="169"/>
      <c r="E245" s="169"/>
      <c r="F245" s="169"/>
      <c r="G245" s="169"/>
      <c r="H245" s="169"/>
      <c r="I245" s="169"/>
      <c r="J245" s="169"/>
      <c r="K245" s="169"/>
      <c r="L245" s="169"/>
      <c r="M245" s="169"/>
      <c r="N245" s="169"/>
      <c r="O245" s="169"/>
      <c r="P245" s="169"/>
      <c r="Q245" s="169"/>
      <c r="R245" s="169"/>
      <c r="S245" s="169"/>
      <c r="T245" s="169"/>
      <c r="U245" s="169"/>
      <c r="V245" s="169"/>
      <c r="W245" s="169"/>
      <c r="X245" s="169"/>
      <c r="Y245" s="169"/>
      <c r="Z245" s="169"/>
      <c r="AA245" s="169"/>
      <c r="AB245" s="169"/>
      <c r="AC245" s="169"/>
    </row>
    <row r="246" spans="1:29" s="12" customFormat="1" hidden="1" x14ac:dyDescent="0.3">
      <c r="A246" s="169"/>
      <c r="B246" s="169"/>
      <c r="C246" s="169"/>
      <c r="D246" s="169"/>
      <c r="E246" s="169"/>
      <c r="F246" s="169"/>
      <c r="G246" s="169"/>
      <c r="H246" s="169"/>
      <c r="I246" s="169"/>
      <c r="J246" s="169"/>
      <c r="K246" s="169"/>
      <c r="L246" s="169"/>
      <c r="M246" s="169"/>
      <c r="N246" s="169"/>
      <c r="O246" s="169"/>
      <c r="P246" s="169"/>
      <c r="Q246" s="169"/>
      <c r="R246" s="169"/>
      <c r="S246" s="169"/>
      <c r="T246" s="169"/>
      <c r="U246" s="169"/>
      <c r="V246" s="169"/>
      <c r="W246" s="169"/>
      <c r="X246" s="169"/>
      <c r="Y246" s="169"/>
      <c r="Z246" s="169"/>
      <c r="AA246" s="169"/>
      <c r="AB246" s="169"/>
      <c r="AC246" s="169"/>
    </row>
    <row r="247" spans="1:29" s="12" customFormat="1" hidden="1" x14ac:dyDescent="0.3">
      <c r="A247" s="169"/>
      <c r="B247" s="169"/>
      <c r="C247" s="169"/>
      <c r="D247" s="169"/>
      <c r="E247" s="169"/>
      <c r="F247" s="169"/>
      <c r="G247" s="169"/>
      <c r="H247" s="169"/>
      <c r="I247" s="169"/>
      <c r="J247" s="169"/>
      <c r="K247" s="169"/>
      <c r="L247" s="169"/>
      <c r="M247" s="169"/>
      <c r="N247" s="169"/>
      <c r="O247" s="169"/>
      <c r="P247" s="169"/>
      <c r="Q247" s="169"/>
      <c r="R247" s="169"/>
      <c r="S247" s="169"/>
      <c r="T247" s="169"/>
      <c r="U247" s="169"/>
      <c r="V247" s="169"/>
      <c r="W247" s="169"/>
      <c r="X247" s="169"/>
      <c r="Y247" s="169"/>
      <c r="Z247" s="169"/>
      <c r="AA247" s="169"/>
      <c r="AB247" s="169"/>
      <c r="AC247" s="169"/>
    </row>
    <row r="248" spans="1:29" s="12" customFormat="1" hidden="1" x14ac:dyDescent="0.3">
      <c r="A248" s="169"/>
      <c r="B248" s="169"/>
      <c r="C248" s="169"/>
      <c r="D248" s="169"/>
      <c r="E248" s="169"/>
      <c r="F248" s="169"/>
      <c r="G248" s="169"/>
      <c r="H248" s="169"/>
      <c r="I248" s="169"/>
      <c r="J248" s="169"/>
      <c r="K248" s="169"/>
      <c r="L248" s="169"/>
      <c r="M248" s="169"/>
      <c r="N248" s="169"/>
      <c r="O248" s="169"/>
      <c r="P248" s="169"/>
      <c r="Q248" s="169"/>
      <c r="R248" s="169"/>
      <c r="S248" s="169"/>
      <c r="T248" s="169"/>
      <c r="U248" s="169"/>
      <c r="V248" s="169"/>
      <c r="W248" s="169"/>
      <c r="X248" s="169"/>
      <c r="Y248" s="169"/>
      <c r="Z248" s="169"/>
      <c r="AA248" s="169"/>
      <c r="AB248" s="169"/>
      <c r="AC248" s="169"/>
    </row>
    <row r="249" spans="1:29" s="12" customFormat="1" hidden="1" x14ac:dyDescent="0.3">
      <c r="A249" s="169"/>
      <c r="B249" s="169"/>
      <c r="C249" s="169"/>
      <c r="D249" s="169"/>
      <c r="E249" s="169"/>
      <c r="F249" s="169"/>
      <c r="G249" s="169"/>
      <c r="H249" s="169"/>
      <c r="I249" s="169"/>
      <c r="J249" s="169"/>
      <c r="K249" s="169"/>
      <c r="L249" s="169"/>
      <c r="M249" s="169"/>
      <c r="N249" s="169"/>
      <c r="O249" s="169"/>
      <c r="P249" s="169"/>
      <c r="Q249" s="169"/>
      <c r="R249" s="169"/>
      <c r="S249" s="169"/>
      <c r="T249" s="169"/>
      <c r="U249" s="169"/>
      <c r="V249" s="169"/>
      <c r="W249" s="169"/>
      <c r="X249" s="169"/>
      <c r="Y249" s="169"/>
      <c r="Z249" s="169"/>
      <c r="AA249" s="169"/>
      <c r="AB249" s="169"/>
      <c r="AC249" s="169"/>
    </row>
    <row r="250" spans="1:29" s="12" customFormat="1" hidden="1" x14ac:dyDescent="0.3">
      <c r="A250" s="169"/>
      <c r="B250" s="169"/>
      <c r="C250" s="169"/>
      <c r="D250" s="169"/>
      <c r="E250" s="169"/>
      <c r="F250" s="169"/>
      <c r="G250" s="169"/>
      <c r="H250" s="169"/>
      <c r="I250" s="169"/>
      <c r="J250" s="169"/>
      <c r="K250" s="169"/>
      <c r="L250" s="169"/>
      <c r="M250" s="169"/>
      <c r="N250" s="169"/>
      <c r="O250" s="169"/>
      <c r="P250" s="169"/>
      <c r="Q250" s="169"/>
      <c r="R250" s="169"/>
      <c r="S250" s="169"/>
      <c r="T250" s="169"/>
      <c r="U250" s="169"/>
      <c r="V250" s="169"/>
      <c r="W250" s="169"/>
      <c r="X250" s="169"/>
      <c r="Y250" s="169"/>
      <c r="Z250" s="169"/>
      <c r="AA250" s="169"/>
      <c r="AB250" s="169"/>
      <c r="AC250" s="169"/>
    </row>
    <row r="251" spans="1:29" s="12" customFormat="1" hidden="1" x14ac:dyDescent="0.3">
      <c r="A251" s="169"/>
      <c r="B251" s="169"/>
      <c r="C251" s="169"/>
      <c r="D251" s="169"/>
      <c r="E251" s="169"/>
      <c r="F251" s="169"/>
      <c r="G251" s="169"/>
      <c r="H251" s="169"/>
      <c r="I251" s="169"/>
      <c r="J251" s="169"/>
      <c r="K251" s="169"/>
      <c r="L251" s="169"/>
      <c r="M251" s="169"/>
      <c r="N251" s="169"/>
      <c r="O251" s="169"/>
      <c r="P251" s="169"/>
      <c r="Q251" s="169"/>
      <c r="R251" s="169"/>
      <c r="S251" s="169"/>
      <c r="T251" s="169"/>
      <c r="U251" s="169"/>
      <c r="V251" s="169"/>
      <c r="W251" s="169"/>
      <c r="X251" s="169"/>
      <c r="Y251" s="169"/>
      <c r="Z251" s="169"/>
      <c r="AA251" s="169"/>
      <c r="AB251" s="169"/>
      <c r="AC251" s="169"/>
    </row>
    <row r="252" spans="1:29" s="12" customFormat="1" hidden="1" x14ac:dyDescent="0.3">
      <c r="A252" s="169"/>
      <c r="B252" s="169"/>
      <c r="C252" s="169"/>
      <c r="D252" s="169"/>
      <c r="E252" s="169"/>
      <c r="F252" s="169"/>
      <c r="G252" s="169"/>
      <c r="H252" s="169"/>
      <c r="I252" s="169"/>
      <c r="J252" s="169"/>
      <c r="K252" s="169"/>
      <c r="L252" s="169"/>
      <c r="M252" s="169"/>
      <c r="N252" s="169"/>
      <c r="O252" s="169"/>
      <c r="P252" s="169"/>
      <c r="Q252" s="169"/>
      <c r="R252" s="169"/>
      <c r="S252" s="169"/>
      <c r="T252" s="169"/>
      <c r="U252" s="169"/>
      <c r="V252" s="169"/>
      <c r="W252" s="169"/>
      <c r="X252" s="169"/>
      <c r="Y252" s="169"/>
      <c r="Z252" s="169"/>
      <c r="AA252" s="169"/>
      <c r="AB252" s="169"/>
      <c r="AC252" s="169"/>
    </row>
    <row r="253" spans="1:29" s="12" customFormat="1" hidden="1" x14ac:dyDescent="0.3">
      <c r="A253" s="169"/>
      <c r="B253" s="169"/>
      <c r="C253" s="169"/>
      <c r="D253" s="169"/>
      <c r="E253" s="169"/>
      <c r="F253" s="169"/>
      <c r="G253" s="169"/>
      <c r="H253" s="169"/>
      <c r="I253" s="169"/>
      <c r="J253" s="169"/>
      <c r="K253" s="169"/>
      <c r="L253" s="169"/>
      <c r="M253" s="169"/>
      <c r="N253" s="169"/>
      <c r="O253" s="169"/>
      <c r="P253" s="169"/>
      <c r="Q253" s="169"/>
      <c r="R253" s="169"/>
      <c r="S253" s="169"/>
      <c r="T253" s="169"/>
      <c r="U253" s="169"/>
      <c r="V253" s="169"/>
      <c r="W253" s="169"/>
      <c r="X253" s="169"/>
      <c r="Y253" s="169"/>
      <c r="Z253" s="169"/>
      <c r="AA253" s="169"/>
      <c r="AB253" s="169"/>
      <c r="AC253" s="169"/>
    </row>
    <row r="254" spans="1:29" s="12" customFormat="1" hidden="1" x14ac:dyDescent="0.3">
      <c r="A254" s="169"/>
      <c r="B254" s="169"/>
      <c r="C254" s="169"/>
      <c r="D254" s="169"/>
      <c r="E254" s="169"/>
      <c r="F254" s="169"/>
      <c r="G254" s="169"/>
      <c r="H254" s="169"/>
      <c r="I254" s="169"/>
      <c r="J254" s="169"/>
      <c r="K254" s="169"/>
      <c r="L254" s="169"/>
      <c r="M254" s="169"/>
      <c r="N254" s="169"/>
      <c r="O254" s="169"/>
      <c r="P254" s="169"/>
      <c r="Q254" s="169"/>
      <c r="R254" s="169"/>
      <c r="S254" s="169"/>
      <c r="T254" s="169"/>
      <c r="U254" s="169"/>
      <c r="V254" s="169"/>
      <c r="W254" s="169"/>
      <c r="X254" s="169"/>
      <c r="Y254" s="169"/>
      <c r="Z254" s="169"/>
      <c r="AA254" s="169"/>
      <c r="AB254" s="169"/>
      <c r="AC254" s="169"/>
    </row>
    <row r="255" spans="1:29" s="12" customFormat="1" hidden="1" x14ac:dyDescent="0.3">
      <c r="A255" s="169"/>
      <c r="B255" s="169"/>
      <c r="C255" s="169"/>
      <c r="D255" s="169"/>
      <c r="E255" s="169"/>
      <c r="F255" s="169"/>
      <c r="G255" s="169"/>
      <c r="H255" s="169"/>
      <c r="I255" s="169"/>
      <c r="J255" s="169"/>
      <c r="K255" s="169"/>
      <c r="L255" s="169"/>
      <c r="M255" s="169"/>
      <c r="N255" s="169"/>
      <c r="O255" s="169"/>
      <c r="P255" s="169"/>
      <c r="Q255" s="169"/>
      <c r="R255" s="169"/>
      <c r="S255" s="169"/>
      <c r="T255" s="169"/>
      <c r="U255" s="169"/>
      <c r="V255" s="169"/>
      <c r="W255" s="169"/>
      <c r="X255" s="169"/>
      <c r="Y255" s="169"/>
      <c r="Z255" s="169"/>
      <c r="AA255" s="169"/>
      <c r="AB255" s="169"/>
      <c r="AC255" s="169"/>
    </row>
    <row r="256" spans="1:29" s="12" customFormat="1" hidden="1" x14ac:dyDescent="0.3">
      <c r="A256" s="169"/>
      <c r="B256" s="169"/>
      <c r="C256" s="169"/>
      <c r="D256" s="169"/>
      <c r="E256" s="169"/>
      <c r="F256" s="169"/>
      <c r="G256" s="169"/>
      <c r="H256" s="169"/>
      <c r="I256" s="169"/>
      <c r="J256" s="169"/>
      <c r="K256" s="169"/>
      <c r="L256" s="169"/>
      <c r="M256" s="169"/>
      <c r="N256" s="169"/>
      <c r="O256" s="169"/>
      <c r="P256" s="169"/>
      <c r="Q256" s="169"/>
      <c r="R256" s="169"/>
      <c r="S256" s="169"/>
      <c r="T256" s="169"/>
      <c r="U256" s="169"/>
      <c r="V256" s="169"/>
      <c r="W256" s="169"/>
      <c r="X256" s="169"/>
      <c r="Y256" s="169"/>
      <c r="Z256" s="169"/>
      <c r="AA256" s="169"/>
      <c r="AB256" s="169"/>
      <c r="AC256" s="169"/>
    </row>
    <row r="257" spans="1:29" s="12" customFormat="1" hidden="1" x14ac:dyDescent="0.3">
      <c r="A257" s="169"/>
      <c r="B257" s="169"/>
      <c r="C257" s="169"/>
      <c r="D257" s="169"/>
      <c r="E257" s="169"/>
      <c r="F257" s="169"/>
      <c r="G257" s="169"/>
      <c r="H257" s="169"/>
      <c r="I257" s="169"/>
      <c r="J257" s="169"/>
      <c r="K257" s="169"/>
      <c r="L257" s="169"/>
      <c r="M257" s="169"/>
      <c r="N257" s="169"/>
      <c r="O257" s="169"/>
      <c r="P257" s="169"/>
      <c r="Q257" s="169"/>
      <c r="R257" s="169"/>
      <c r="S257" s="169"/>
      <c r="T257" s="169"/>
      <c r="U257" s="169"/>
      <c r="V257" s="169"/>
      <c r="W257" s="169"/>
      <c r="X257" s="169"/>
      <c r="Y257" s="169"/>
      <c r="Z257" s="169"/>
      <c r="AA257" s="169"/>
      <c r="AB257" s="169"/>
      <c r="AC257" s="169"/>
    </row>
    <row r="258" spans="1:29" s="12" customFormat="1" hidden="1" x14ac:dyDescent="0.3">
      <c r="A258" s="169"/>
      <c r="B258" s="169"/>
      <c r="C258" s="169"/>
      <c r="D258" s="169"/>
      <c r="E258" s="169"/>
      <c r="F258" s="169"/>
      <c r="G258" s="169"/>
      <c r="H258" s="169"/>
      <c r="I258" s="169"/>
      <c r="J258" s="169"/>
      <c r="K258" s="169"/>
      <c r="L258" s="169"/>
      <c r="M258" s="169"/>
      <c r="N258" s="169"/>
      <c r="O258" s="169"/>
      <c r="P258" s="169"/>
      <c r="Q258" s="169"/>
      <c r="R258" s="169"/>
      <c r="S258" s="169"/>
      <c r="T258" s="169"/>
      <c r="U258" s="169"/>
      <c r="V258" s="169"/>
      <c r="W258" s="169"/>
      <c r="X258" s="169"/>
      <c r="Y258" s="169"/>
      <c r="Z258" s="169"/>
      <c r="AA258" s="169"/>
      <c r="AB258" s="169"/>
      <c r="AC258" s="169"/>
    </row>
    <row r="259" spans="1:29" s="12" customFormat="1" hidden="1" x14ac:dyDescent="0.3">
      <c r="A259" s="169"/>
      <c r="B259" s="169"/>
      <c r="C259" s="169"/>
      <c r="D259" s="169"/>
      <c r="E259" s="169"/>
      <c r="F259" s="169"/>
      <c r="G259" s="169"/>
      <c r="H259" s="169"/>
      <c r="I259" s="169"/>
      <c r="J259" s="169"/>
      <c r="K259" s="169"/>
      <c r="L259" s="169"/>
      <c r="M259" s="169"/>
      <c r="N259" s="169"/>
      <c r="O259" s="169"/>
      <c r="P259" s="169"/>
      <c r="Q259" s="169"/>
      <c r="R259" s="169"/>
      <c r="S259" s="169"/>
      <c r="T259" s="169"/>
      <c r="U259" s="169"/>
      <c r="V259" s="169"/>
      <c r="W259" s="169"/>
      <c r="X259" s="169"/>
      <c r="Y259" s="169"/>
      <c r="Z259" s="169"/>
      <c r="AA259" s="169"/>
      <c r="AB259" s="169"/>
      <c r="AC259" s="169"/>
    </row>
    <row r="260" spans="1:29" s="12" customFormat="1" hidden="1" x14ac:dyDescent="0.3">
      <c r="A260" s="169"/>
      <c r="B260" s="169"/>
      <c r="C260" s="169"/>
      <c r="D260" s="169"/>
      <c r="E260" s="169"/>
      <c r="F260" s="169"/>
      <c r="G260" s="169"/>
      <c r="H260" s="169"/>
      <c r="I260" s="169"/>
      <c r="J260" s="169"/>
      <c r="K260" s="169"/>
      <c r="L260" s="169"/>
      <c r="M260" s="169"/>
      <c r="N260" s="169"/>
      <c r="O260" s="169"/>
      <c r="P260" s="169"/>
      <c r="Q260" s="169"/>
      <c r="R260" s="169"/>
      <c r="S260" s="169"/>
      <c r="T260" s="169"/>
      <c r="U260" s="169"/>
      <c r="V260" s="169"/>
      <c r="W260" s="169"/>
      <c r="X260" s="169"/>
      <c r="Y260" s="169"/>
      <c r="Z260" s="169"/>
      <c r="AA260" s="169"/>
      <c r="AB260" s="169"/>
      <c r="AC260" s="169"/>
    </row>
    <row r="261" spans="1:29" s="12" customFormat="1" hidden="1" x14ac:dyDescent="0.3">
      <c r="A261" s="169"/>
      <c r="B261" s="169"/>
      <c r="C261" s="169"/>
      <c r="D261" s="169"/>
      <c r="E261" s="169"/>
      <c r="F261" s="169"/>
      <c r="G261" s="169"/>
      <c r="H261" s="169"/>
      <c r="I261" s="169"/>
      <c r="J261" s="169"/>
      <c r="K261" s="169"/>
      <c r="L261" s="169"/>
      <c r="M261" s="169"/>
      <c r="N261" s="169"/>
      <c r="O261" s="169"/>
      <c r="P261" s="169"/>
      <c r="Q261" s="169"/>
      <c r="R261" s="169"/>
      <c r="S261" s="169"/>
      <c r="T261" s="169"/>
      <c r="U261" s="169"/>
      <c r="V261" s="169"/>
      <c r="W261" s="169"/>
      <c r="X261" s="169"/>
      <c r="Y261" s="169"/>
      <c r="Z261" s="169"/>
      <c r="AA261" s="169"/>
      <c r="AB261" s="169"/>
      <c r="AC261" s="169"/>
    </row>
    <row r="262" spans="1:29" s="12" customFormat="1" hidden="1" x14ac:dyDescent="0.3">
      <c r="A262" s="169"/>
      <c r="B262" s="169"/>
      <c r="C262" s="169"/>
      <c r="D262" s="169"/>
      <c r="E262" s="169"/>
      <c r="F262" s="169"/>
      <c r="G262" s="169"/>
      <c r="H262" s="169"/>
      <c r="I262" s="169"/>
      <c r="J262" s="169"/>
      <c r="K262" s="169"/>
      <c r="L262" s="169"/>
      <c r="M262" s="169"/>
      <c r="N262" s="169"/>
      <c r="O262" s="169"/>
      <c r="P262" s="169"/>
      <c r="Q262" s="169"/>
      <c r="R262" s="169"/>
      <c r="S262" s="169"/>
      <c r="T262" s="169"/>
      <c r="U262" s="169"/>
      <c r="V262" s="169"/>
      <c r="W262" s="169"/>
      <c r="X262" s="169"/>
      <c r="Y262" s="169"/>
      <c r="Z262" s="169"/>
      <c r="AA262" s="169"/>
      <c r="AB262" s="169"/>
      <c r="AC262" s="169"/>
    </row>
    <row r="263" spans="1:29" s="12" customFormat="1" hidden="1" x14ac:dyDescent="0.3">
      <c r="A263" s="169"/>
      <c r="B263" s="169"/>
      <c r="C263" s="169"/>
      <c r="D263" s="169"/>
      <c r="E263" s="169"/>
      <c r="F263" s="169"/>
      <c r="G263" s="169"/>
      <c r="H263" s="169"/>
      <c r="I263" s="169"/>
      <c r="J263" s="169"/>
      <c r="K263" s="169"/>
      <c r="L263" s="169"/>
      <c r="M263" s="169"/>
      <c r="N263" s="169"/>
      <c r="O263" s="169"/>
      <c r="P263" s="169"/>
      <c r="Q263" s="169"/>
      <c r="R263" s="169"/>
      <c r="S263" s="169"/>
      <c r="T263" s="169"/>
      <c r="U263" s="169"/>
      <c r="V263" s="169"/>
      <c r="W263" s="169"/>
      <c r="X263" s="169"/>
      <c r="Y263" s="169"/>
      <c r="Z263" s="169"/>
      <c r="AA263" s="169"/>
      <c r="AB263" s="169"/>
      <c r="AC263" s="169"/>
    </row>
    <row r="264" spans="1:29" s="12" customFormat="1" hidden="1" x14ac:dyDescent="0.3">
      <c r="A264" s="169"/>
      <c r="B264" s="169"/>
      <c r="C264" s="169"/>
      <c r="D264" s="169"/>
      <c r="E264" s="169"/>
      <c r="F264" s="169"/>
      <c r="G264" s="169"/>
      <c r="H264" s="169"/>
      <c r="I264" s="169"/>
      <c r="J264" s="169"/>
      <c r="K264" s="169"/>
      <c r="L264" s="169"/>
      <c r="M264" s="169"/>
      <c r="N264" s="169"/>
      <c r="O264" s="169"/>
      <c r="P264" s="169"/>
      <c r="Q264" s="169"/>
      <c r="R264" s="169"/>
      <c r="S264" s="169"/>
      <c r="T264" s="169"/>
      <c r="U264" s="169"/>
      <c r="V264" s="169"/>
      <c r="W264" s="169"/>
      <c r="X264" s="169"/>
      <c r="Y264" s="169"/>
      <c r="Z264" s="169"/>
      <c r="AA264" s="169"/>
      <c r="AB264" s="169"/>
      <c r="AC264" s="169"/>
    </row>
    <row r="265" spans="1:29" s="12" customFormat="1" hidden="1" x14ac:dyDescent="0.3">
      <c r="A265" s="169"/>
      <c r="B265" s="169"/>
      <c r="C265" s="169"/>
      <c r="D265" s="169"/>
      <c r="E265" s="169"/>
      <c r="F265" s="169"/>
      <c r="G265" s="169"/>
      <c r="H265" s="169"/>
      <c r="I265" s="169"/>
      <c r="J265" s="169"/>
      <c r="K265" s="169"/>
      <c r="L265" s="169"/>
      <c r="M265" s="169"/>
      <c r="N265" s="169"/>
      <c r="O265" s="169"/>
      <c r="P265" s="169"/>
      <c r="Q265" s="169"/>
      <c r="R265" s="169"/>
      <c r="S265" s="169"/>
      <c r="T265" s="169"/>
      <c r="U265" s="169"/>
      <c r="V265" s="169"/>
      <c r="W265" s="169"/>
      <c r="X265" s="169"/>
      <c r="Y265" s="169"/>
      <c r="Z265" s="169"/>
      <c r="AA265" s="169"/>
      <c r="AB265" s="169"/>
      <c r="AC265" s="169"/>
    </row>
    <row r="266" spans="1:29" s="12" customFormat="1" hidden="1" x14ac:dyDescent="0.3">
      <c r="A266" s="169"/>
      <c r="B266" s="169"/>
      <c r="C266" s="169"/>
      <c r="D266" s="169"/>
      <c r="E266" s="169"/>
      <c r="F266" s="169"/>
      <c r="G266" s="169"/>
      <c r="H266" s="169"/>
      <c r="I266" s="169"/>
      <c r="J266" s="169"/>
      <c r="K266" s="169"/>
      <c r="L266" s="169"/>
      <c r="M266" s="169"/>
      <c r="N266" s="169"/>
      <c r="O266" s="169"/>
      <c r="P266" s="169"/>
      <c r="Q266" s="169"/>
      <c r="R266" s="169"/>
      <c r="S266" s="169"/>
      <c r="T266" s="169"/>
      <c r="U266" s="169"/>
      <c r="V266" s="169"/>
      <c r="W266" s="169"/>
      <c r="X266" s="169"/>
      <c r="Y266" s="169"/>
      <c r="Z266" s="169"/>
      <c r="AA266" s="169"/>
      <c r="AB266" s="169"/>
      <c r="AC266" s="169"/>
    </row>
    <row r="267" spans="1:29" s="12" customFormat="1" hidden="1" x14ac:dyDescent="0.3">
      <c r="A267" s="169"/>
      <c r="B267" s="169"/>
      <c r="C267" s="169"/>
      <c r="D267" s="169"/>
      <c r="E267" s="169"/>
      <c r="F267" s="169"/>
      <c r="G267" s="169"/>
      <c r="H267" s="169"/>
      <c r="I267" s="169"/>
      <c r="J267" s="169"/>
      <c r="K267" s="169"/>
      <c r="L267" s="169"/>
      <c r="M267" s="169"/>
      <c r="N267" s="169"/>
      <c r="O267" s="169"/>
      <c r="P267" s="169"/>
      <c r="Q267" s="169"/>
      <c r="R267" s="169"/>
      <c r="S267" s="169"/>
      <c r="T267" s="169"/>
      <c r="U267" s="169"/>
      <c r="V267" s="169"/>
      <c r="W267" s="169"/>
      <c r="X267" s="169"/>
      <c r="Y267" s="169"/>
      <c r="Z267" s="169"/>
      <c r="AA267" s="169"/>
      <c r="AB267" s="169"/>
      <c r="AC267" s="169"/>
    </row>
    <row r="268" spans="1:29" s="12" customFormat="1" hidden="1" x14ac:dyDescent="0.3">
      <c r="A268" s="169"/>
      <c r="B268" s="169"/>
      <c r="C268" s="169"/>
      <c r="D268" s="169"/>
      <c r="E268" s="169"/>
      <c r="F268" s="169"/>
      <c r="G268" s="169"/>
      <c r="H268" s="169"/>
      <c r="I268" s="169"/>
      <c r="J268" s="169"/>
      <c r="K268" s="169"/>
      <c r="L268" s="169"/>
      <c r="M268" s="169"/>
      <c r="N268" s="169"/>
      <c r="O268" s="169"/>
      <c r="P268" s="169"/>
      <c r="Q268" s="169"/>
      <c r="R268" s="169"/>
      <c r="S268" s="169"/>
      <c r="T268" s="169"/>
      <c r="U268" s="169"/>
      <c r="V268" s="169"/>
      <c r="W268" s="169"/>
      <c r="X268" s="169"/>
      <c r="Y268" s="169"/>
      <c r="Z268" s="169"/>
      <c r="AA268" s="169"/>
      <c r="AB268" s="169"/>
      <c r="AC268" s="169"/>
    </row>
    <row r="269" spans="1:29" s="12" customFormat="1" hidden="1" x14ac:dyDescent="0.3">
      <c r="A269" s="169"/>
      <c r="B269" s="169"/>
      <c r="C269" s="169"/>
      <c r="D269" s="169"/>
      <c r="E269" s="169"/>
      <c r="F269" s="169"/>
      <c r="G269" s="169"/>
      <c r="H269" s="169"/>
      <c r="I269" s="169"/>
      <c r="J269" s="169"/>
      <c r="K269" s="169"/>
      <c r="L269" s="169"/>
      <c r="M269" s="169"/>
      <c r="N269" s="169"/>
      <c r="O269" s="169"/>
      <c r="P269" s="169"/>
      <c r="Q269" s="169"/>
      <c r="R269" s="169"/>
      <c r="S269" s="169"/>
      <c r="T269" s="169"/>
      <c r="U269" s="169"/>
      <c r="V269" s="169"/>
      <c r="W269" s="169"/>
      <c r="X269" s="169"/>
      <c r="Y269" s="169"/>
      <c r="Z269" s="169"/>
      <c r="AA269" s="169"/>
      <c r="AB269" s="169"/>
      <c r="AC269" s="169"/>
    </row>
    <row r="270" spans="1:29" s="12" customFormat="1" hidden="1" x14ac:dyDescent="0.3">
      <c r="A270" s="169"/>
      <c r="B270" s="169"/>
      <c r="C270" s="169"/>
      <c r="D270" s="169"/>
      <c r="E270" s="169"/>
      <c r="F270" s="169"/>
      <c r="G270" s="169"/>
      <c r="H270" s="169"/>
      <c r="I270" s="169"/>
      <c r="J270" s="169"/>
      <c r="K270" s="169"/>
      <c r="L270" s="169"/>
      <c r="M270" s="169"/>
      <c r="N270" s="169"/>
      <c r="O270" s="169"/>
      <c r="P270" s="169"/>
      <c r="Q270" s="169"/>
      <c r="R270" s="169"/>
      <c r="S270" s="169"/>
      <c r="T270" s="169"/>
      <c r="U270" s="169"/>
      <c r="V270" s="169"/>
      <c r="W270" s="169"/>
      <c r="X270" s="169"/>
      <c r="Y270" s="169"/>
      <c r="Z270" s="169"/>
      <c r="AA270" s="169"/>
      <c r="AB270" s="169"/>
      <c r="AC270" s="169"/>
    </row>
    <row r="271" spans="1:29" s="12" customFormat="1" hidden="1" x14ac:dyDescent="0.3">
      <c r="A271" s="169"/>
      <c r="B271" s="169"/>
      <c r="C271" s="169"/>
      <c r="D271" s="169"/>
      <c r="E271" s="169"/>
      <c r="F271" s="169"/>
      <c r="G271" s="169"/>
      <c r="H271" s="169"/>
      <c r="I271" s="169"/>
      <c r="J271" s="169"/>
      <c r="K271" s="169"/>
      <c r="L271" s="169"/>
      <c r="M271" s="169"/>
      <c r="N271" s="169"/>
      <c r="O271" s="169"/>
      <c r="P271" s="169"/>
      <c r="Q271" s="169"/>
      <c r="R271" s="169"/>
      <c r="S271" s="169"/>
      <c r="T271" s="169"/>
      <c r="U271" s="169"/>
      <c r="V271" s="169"/>
      <c r="W271" s="169"/>
      <c r="X271" s="169"/>
      <c r="Y271" s="169"/>
      <c r="Z271" s="169"/>
      <c r="AA271" s="169"/>
      <c r="AB271" s="169"/>
      <c r="AC271" s="169"/>
    </row>
    <row r="272" spans="1:29" s="12" customFormat="1" hidden="1" x14ac:dyDescent="0.3">
      <c r="A272" s="169"/>
      <c r="B272" s="169"/>
      <c r="C272" s="169"/>
      <c r="D272" s="169"/>
      <c r="E272" s="169"/>
      <c r="F272" s="169"/>
      <c r="G272" s="169"/>
      <c r="H272" s="169"/>
      <c r="I272" s="169"/>
      <c r="J272" s="169"/>
      <c r="K272" s="169"/>
      <c r="L272" s="169"/>
      <c r="M272" s="169"/>
      <c r="N272" s="169"/>
      <c r="O272" s="169"/>
      <c r="P272" s="169"/>
      <c r="Q272" s="169"/>
      <c r="R272" s="169"/>
      <c r="S272" s="169"/>
      <c r="T272" s="169"/>
      <c r="U272" s="169"/>
      <c r="V272" s="169"/>
      <c r="W272" s="169"/>
      <c r="X272" s="169"/>
      <c r="Y272" s="169"/>
      <c r="Z272" s="169"/>
      <c r="AA272" s="169"/>
      <c r="AB272" s="169"/>
      <c r="AC272" s="169"/>
    </row>
    <row r="273" spans="1:29" s="12" customFormat="1" hidden="1" x14ac:dyDescent="0.3">
      <c r="A273" s="169"/>
      <c r="B273" s="169"/>
      <c r="C273" s="169"/>
      <c r="D273" s="169"/>
      <c r="E273" s="169"/>
      <c r="F273" s="169"/>
      <c r="G273" s="169"/>
      <c r="H273" s="169"/>
      <c r="I273" s="169"/>
      <c r="J273" s="169"/>
      <c r="K273" s="169"/>
      <c r="L273" s="169"/>
      <c r="M273" s="169"/>
      <c r="N273" s="169"/>
      <c r="O273" s="169"/>
      <c r="P273" s="169"/>
      <c r="Q273" s="169"/>
      <c r="R273" s="169"/>
      <c r="S273" s="169"/>
      <c r="T273" s="169"/>
      <c r="U273" s="169"/>
      <c r="V273" s="169"/>
      <c r="W273" s="169"/>
      <c r="X273" s="169"/>
      <c r="Y273" s="169"/>
      <c r="Z273" s="169"/>
      <c r="AA273" s="169"/>
      <c r="AB273" s="169"/>
      <c r="AC273" s="169"/>
    </row>
    <row r="274" spans="1:29" s="12" customFormat="1" hidden="1" x14ac:dyDescent="0.3">
      <c r="A274" s="169"/>
      <c r="B274" s="169"/>
      <c r="C274" s="169"/>
      <c r="D274" s="169"/>
      <c r="E274" s="169"/>
      <c r="F274" s="169"/>
      <c r="G274" s="169"/>
      <c r="H274" s="169"/>
      <c r="I274" s="169"/>
      <c r="J274" s="169"/>
      <c r="K274" s="169"/>
      <c r="L274" s="169"/>
      <c r="M274" s="169"/>
      <c r="N274" s="169"/>
      <c r="O274" s="169"/>
      <c r="P274" s="169"/>
      <c r="Q274" s="169"/>
      <c r="R274" s="169"/>
      <c r="S274" s="169"/>
      <c r="T274" s="169"/>
      <c r="U274" s="169"/>
      <c r="V274" s="169"/>
      <c r="W274" s="169"/>
      <c r="X274" s="169"/>
      <c r="Y274" s="169"/>
      <c r="Z274" s="169"/>
      <c r="AA274" s="169"/>
      <c r="AB274" s="169"/>
      <c r="AC274" s="169"/>
    </row>
    <row r="275" spans="1:29" s="12" customFormat="1" hidden="1" x14ac:dyDescent="0.3">
      <c r="A275" s="169"/>
      <c r="B275" s="169"/>
      <c r="C275" s="169"/>
      <c r="D275" s="169"/>
      <c r="E275" s="169"/>
      <c r="F275" s="169"/>
      <c r="G275" s="169"/>
      <c r="H275" s="169"/>
      <c r="I275" s="169"/>
      <c r="J275" s="169"/>
      <c r="K275" s="169"/>
      <c r="L275" s="169"/>
      <c r="M275" s="169"/>
      <c r="N275" s="169"/>
      <c r="O275" s="169"/>
      <c r="P275" s="169"/>
      <c r="Q275" s="169"/>
      <c r="R275" s="169"/>
      <c r="S275" s="169"/>
      <c r="T275" s="169"/>
      <c r="U275" s="169"/>
      <c r="V275" s="169"/>
      <c r="W275" s="169"/>
      <c r="X275" s="169"/>
      <c r="Y275" s="169"/>
      <c r="Z275" s="169"/>
      <c r="AA275" s="169"/>
      <c r="AB275" s="169"/>
      <c r="AC275" s="169"/>
    </row>
    <row r="276" spans="1:29" s="12" customFormat="1" hidden="1" x14ac:dyDescent="0.3">
      <c r="A276" s="169"/>
      <c r="B276" s="169"/>
      <c r="C276" s="169"/>
      <c r="D276" s="169"/>
      <c r="E276" s="169"/>
      <c r="F276" s="169"/>
      <c r="G276" s="169"/>
      <c r="H276" s="169"/>
      <c r="I276" s="169"/>
      <c r="J276" s="169"/>
      <c r="K276" s="169"/>
      <c r="L276" s="169"/>
      <c r="M276" s="169"/>
      <c r="N276" s="169"/>
      <c r="O276" s="169"/>
      <c r="P276" s="169"/>
      <c r="Q276" s="169"/>
      <c r="R276" s="169"/>
      <c r="S276" s="169"/>
      <c r="T276" s="169"/>
      <c r="U276" s="169"/>
      <c r="V276" s="169"/>
      <c r="W276" s="169"/>
      <c r="X276" s="169"/>
      <c r="Y276" s="169"/>
      <c r="Z276" s="169"/>
      <c r="AA276" s="169"/>
      <c r="AB276" s="169"/>
      <c r="AC276" s="169"/>
    </row>
    <row r="277" spans="1:29" s="12" customFormat="1" hidden="1" x14ac:dyDescent="0.3">
      <c r="A277" s="169"/>
      <c r="B277" s="169"/>
      <c r="C277" s="169"/>
      <c r="D277" s="169"/>
      <c r="E277" s="169"/>
      <c r="F277" s="169"/>
      <c r="G277" s="169"/>
      <c r="H277" s="169"/>
      <c r="I277" s="169"/>
      <c r="J277" s="169"/>
      <c r="K277" s="169"/>
      <c r="L277" s="169"/>
      <c r="M277" s="169"/>
      <c r="N277" s="169"/>
      <c r="O277" s="169"/>
      <c r="P277" s="169"/>
      <c r="Q277" s="169"/>
      <c r="R277" s="169"/>
      <c r="S277" s="169"/>
      <c r="T277" s="169"/>
      <c r="U277" s="169"/>
      <c r="V277" s="169"/>
      <c r="W277" s="169"/>
      <c r="X277" s="169"/>
      <c r="Y277" s="169"/>
      <c r="Z277" s="169"/>
      <c r="AA277" s="169"/>
      <c r="AB277" s="169"/>
      <c r="AC277" s="169"/>
    </row>
    <row r="278" spans="1:29" s="12" customFormat="1" hidden="1" x14ac:dyDescent="0.3">
      <c r="A278" s="169"/>
      <c r="B278" s="169"/>
      <c r="C278" s="169"/>
      <c r="D278" s="169"/>
      <c r="E278" s="169"/>
      <c r="F278" s="169"/>
      <c r="G278" s="169"/>
      <c r="H278" s="169"/>
      <c r="I278" s="169"/>
      <c r="J278" s="169"/>
      <c r="K278" s="169"/>
      <c r="L278" s="169"/>
      <c r="M278" s="169"/>
      <c r="N278" s="169"/>
      <c r="O278" s="169"/>
      <c r="P278" s="169"/>
      <c r="Q278" s="169"/>
      <c r="R278" s="169"/>
      <c r="S278" s="169"/>
      <c r="T278" s="169"/>
      <c r="U278" s="169"/>
      <c r="V278" s="169"/>
      <c r="W278" s="169"/>
      <c r="X278" s="169"/>
      <c r="Y278" s="169"/>
      <c r="Z278" s="169"/>
      <c r="AA278" s="169"/>
      <c r="AB278" s="169"/>
      <c r="AC278" s="169"/>
    </row>
    <row r="279" spans="1:29" s="12" customFormat="1" hidden="1" x14ac:dyDescent="0.3">
      <c r="A279" s="169"/>
      <c r="B279" s="169"/>
      <c r="C279" s="169"/>
      <c r="D279" s="169"/>
      <c r="E279" s="169"/>
      <c r="F279" s="169"/>
      <c r="G279" s="169"/>
      <c r="H279" s="169"/>
      <c r="I279" s="169"/>
      <c r="J279" s="169"/>
      <c r="K279" s="169"/>
      <c r="L279" s="169"/>
      <c r="M279" s="169"/>
      <c r="N279" s="169"/>
      <c r="O279" s="169"/>
      <c r="P279" s="169"/>
      <c r="Q279" s="169"/>
      <c r="R279" s="169"/>
      <c r="S279" s="169"/>
      <c r="T279" s="169"/>
      <c r="U279" s="169"/>
      <c r="V279" s="169"/>
      <c r="W279" s="169"/>
      <c r="X279" s="169"/>
      <c r="Y279" s="169"/>
      <c r="Z279" s="169"/>
      <c r="AA279" s="169"/>
      <c r="AB279" s="169"/>
      <c r="AC279" s="169"/>
    </row>
    <row r="280" spans="1:29" s="12" customFormat="1" hidden="1" x14ac:dyDescent="0.3">
      <c r="A280" s="169"/>
      <c r="B280" s="169"/>
      <c r="C280" s="169"/>
      <c r="D280" s="169"/>
      <c r="E280" s="169"/>
      <c r="F280" s="169"/>
      <c r="G280" s="169"/>
      <c r="H280" s="169"/>
      <c r="I280" s="169"/>
      <c r="J280" s="169"/>
      <c r="K280" s="169"/>
      <c r="L280" s="169"/>
      <c r="M280" s="169"/>
      <c r="N280" s="169"/>
      <c r="O280" s="169"/>
      <c r="P280" s="169"/>
      <c r="Q280" s="169"/>
      <c r="R280" s="169"/>
      <c r="S280" s="169"/>
      <c r="T280" s="169"/>
      <c r="U280" s="169"/>
      <c r="V280" s="169"/>
      <c r="W280" s="169"/>
      <c r="X280" s="169"/>
      <c r="Y280" s="169"/>
      <c r="Z280" s="169"/>
      <c r="AA280" s="169"/>
      <c r="AB280" s="169"/>
      <c r="AC280" s="169"/>
    </row>
    <row r="281" spans="1:29" s="12" customFormat="1" hidden="1" x14ac:dyDescent="0.3">
      <c r="A281" s="169"/>
      <c r="B281" s="169"/>
      <c r="C281" s="169"/>
      <c r="D281" s="169"/>
      <c r="E281" s="169"/>
      <c r="F281" s="169"/>
      <c r="G281" s="169"/>
      <c r="H281" s="169"/>
      <c r="I281" s="169"/>
      <c r="J281" s="169"/>
      <c r="K281" s="169"/>
      <c r="L281" s="169"/>
      <c r="M281" s="169"/>
      <c r="N281" s="169"/>
      <c r="O281" s="169"/>
      <c r="P281" s="169"/>
      <c r="Q281" s="169"/>
      <c r="R281" s="169"/>
      <c r="S281" s="169"/>
      <c r="T281" s="169"/>
      <c r="U281" s="169"/>
      <c r="V281" s="169"/>
      <c r="W281" s="169"/>
      <c r="X281" s="169"/>
      <c r="Y281" s="169"/>
      <c r="Z281" s="169"/>
      <c r="AA281" s="169"/>
      <c r="AB281" s="169"/>
      <c r="AC281" s="169"/>
    </row>
    <row r="282" spans="1:29" s="12" customFormat="1" hidden="1" x14ac:dyDescent="0.3">
      <c r="A282" s="169"/>
      <c r="B282" s="169"/>
      <c r="C282" s="169"/>
      <c r="D282" s="169"/>
      <c r="E282" s="169"/>
      <c r="F282" s="169"/>
      <c r="G282" s="169"/>
      <c r="H282" s="169"/>
      <c r="I282" s="169"/>
      <c r="J282" s="169"/>
      <c r="K282" s="169"/>
      <c r="L282" s="169"/>
      <c r="M282" s="169"/>
      <c r="N282" s="169"/>
      <c r="O282" s="169"/>
      <c r="P282" s="169"/>
      <c r="Q282" s="169"/>
      <c r="R282" s="169"/>
      <c r="S282" s="169"/>
      <c r="T282" s="169"/>
      <c r="U282" s="169"/>
      <c r="V282" s="169"/>
      <c r="W282" s="169"/>
      <c r="X282" s="169"/>
      <c r="Y282" s="169"/>
      <c r="Z282" s="169"/>
      <c r="AA282" s="169"/>
      <c r="AB282" s="169"/>
      <c r="AC282" s="169"/>
    </row>
    <row r="283" spans="1:29" s="12" customFormat="1" hidden="1" x14ac:dyDescent="0.3">
      <c r="A283" s="169"/>
      <c r="B283" s="169"/>
      <c r="C283" s="169"/>
      <c r="D283" s="169"/>
      <c r="E283" s="169"/>
      <c r="F283" s="169"/>
      <c r="G283" s="169"/>
      <c r="H283" s="169"/>
      <c r="I283" s="169"/>
      <c r="J283" s="169"/>
      <c r="K283" s="169"/>
      <c r="L283" s="169"/>
      <c r="M283" s="169"/>
      <c r="N283" s="169"/>
      <c r="O283" s="169"/>
      <c r="P283" s="169"/>
      <c r="Q283" s="169"/>
      <c r="R283" s="169"/>
      <c r="S283" s="169"/>
      <c r="T283" s="169"/>
      <c r="U283" s="169"/>
      <c r="V283" s="169"/>
      <c r="W283" s="169"/>
      <c r="X283" s="169"/>
      <c r="Y283" s="169"/>
      <c r="Z283" s="169"/>
      <c r="AA283" s="169"/>
      <c r="AB283" s="169"/>
      <c r="AC283" s="169"/>
    </row>
    <row r="284" spans="1:29" s="12" customFormat="1" hidden="1" x14ac:dyDescent="0.3">
      <c r="A284" s="169"/>
      <c r="B284" s="169"/>
      <c r="C284" s="169"/>
      <c r="D284" s="169"/>
      <c r="E284" s="169"/>
      <c r="F284" s="169"/>
      <c r="G284" s="169"/>
      <c r="H284" s="169"/>
      <c r="I284" s="169"/>
      <c r="J284" s="169"/>
      <c r="K284" s="169"/>
      <c r="L284" s="169"/>
      <c r="M284" s="169"/>
      <c r="N284" s="169"/>
      <c r="O284" s="169"/>
      <c r="P284" s="169"/>
      <c r="Q284" s="169"/>
      <c r="R284" s="169"/>
      <c r="S284" s="169"/>
      <c r="T284" s="169"/>
      <c r="U284" s="169"/>
      <c r="V284" s="169"/>
      <c r="W284" s="169"/>
      <c r="X284" s="169"/>
      <c r="Y284" s="169"/>
      <c r="Z284" s="169"/>
      <c r="AA284" s="169"/>
      <c r="AB284" s="169"/>
      <c r="AC284" s="169"/>
    </row>
    <row r="285" spans="1:29" s="12" customFormat="1" hidden="1" x14ac:dyDescent="0.3">
      <c r="A285" s="169"/>
      <c r="B285" s="169"/>
      <c r="C285" s="169"/>
      <c r="D285" s="169"/>
      <c r="E285" s="169"/>
      <c r="F285" s="169"/>
      <c r="G285" s="169"/>
      <c r="H285" s="169"/>
      <c r="I285" s="169"/>
      <c r="J285" s="169"/>
      <c r="K285" s="169"/>
      <c r="L285" s="169"/>
      <c r="M285" s="169"/>
      <c r="N285" s="169"/>
      <c r="O285" s="169"/>
      <c r="P285" s="169"/>
      <c r="Q285" s="169"/>
      <c r="R285" s="169"/>
      <c r="S285" s="169"/>
      <c r="T285" s="169"/>
      <c r="U285" s="169"/>
      <c r="V285" s="169"/>
      <c r="W285" s="169"/>
      <c r="X285" s="169"/>
      <c r="Y285" s="169"/>
      <c r="Z285" s="169"/>
      <c r="AA285" s="169"/>
      <c r="AB285" s="169"/>
      <c r="AC285" s="169"/>
    </row>
    <row r="286" spans="1:29" s="12" customFormat="1" hidden="1" x14ac:dyDescent="0.3">
      <c r="A286" s="169"/>
      <c r="B286" s="169"/>
      <c r="C286" s="169"/>
      <c r="D286" s="169"/>
      <c r="E286" s="169"/>
      <c r="F286" s="169"/>
      <c r="G286" s="169"/>
      <c r="H286" s="169"/>
      <c r="I286" s="169"/>
      <c r="J286" s="169"/>
      <c r="K286" s="169"/>
      <c r="L286" s="169"/>
      <c r="M286" s="169"/>
      <c r="N286" s="169"/>
      <c r="O286" s="169"/>
      <c r="P286" s="169"/>
      <c r="Q286" s="169"/>
      <c r="R286" s="169"/>
      <c r="S286" s="169"/>
      <c r="T286" s="169"/>
      <c r="U286" s="169"/>
      <c r="V286" s="169"/>
      <c r="W286" s="169"/>
      <c r="X286" s="169"/>
      <c r="Y286" s="169"/>
      <c r="Z286" s="169"/>
      <c r="AA286" s="169"/>
      <c r="AB286" s="169"/>
      <c r="AC286" s="169"/>
    </row>
    <row r="287" spans="1:29" s="12" customFormat="1" hidden="1" x14ac:dyDescent="0.3">
      <c r="A287" s="169"/>
      <c r="B287" s="169"/>
      <c r="C287" s="169"/>
      <c r="D287" s="169"/>
      <c r="E287" s="169"/>
      <c r="F287" s="169"/>
      <c r="G287" s="169"/>
      <c r="H287" s="169"/>
      <c r="I287" s="169"/>
      <c r="J287" s="169"/>
      <c r="K287" s="169"/>
      <c r="L287" s="169"/>
      <c r="M287" s="169"/>
      <c r="N287" s="169"/>
      <c r="O287" s="169"/>
      <c r="P287" s="169"/>
      <c r="Q287" s="169"/>
      <c r="R287" s="169"/>
      <c r="S287" s="169"/>
      <c r="T287" s="169"/>
      <c r="U287" s="169"/>
      <c r="V287" s="169"/>
      <c r="W287" s="169"/>
      <c r="X287" s="169"/>
      <c r="Y287" s="169"/>
      <c r="Z287" s="169"/>
      <c r="AA287" s="169"/>
      <c r="AB287" s="169"/>
      <c r="AC287" s="169"/>
    </row>
    <row r="288" spans="1:29" s="12" customFormat="1" hidden="1" x14ac:dyDescent="0.3">
      <c r="A288" s="169"/>
      <c r="B288" s="169"/>
      <c r="C288" s="169"/>
      <c r="D288" s="169"/>
      <c r="E288" s="169"/>
      <c r="F288" s="169"/>
      <c r="G288" s="169"/>
      <c r="H288" s="169"/>
      <c r="I288" s="169"/>
      <c r="J288" s="169"/>
      <c r="K288" s="169"/>
      <c r="L288" s="169"/>
      <c r="M288" s="169"/>
      <c r="N288" s="169"/>
      <c r="O288" s="169"/>
      <c r="P288" s="169"/>
      <c r="Q288" s="169"/>
      <c r="R288" s="169"/>
      <c r="S288" s="169"/>
      <c r="T288" s="169"/>
      <c r="U288" s="169"/>
      <c r="V288" s="169"/>
      <c r="W288" s="169"/>
      <c r="X288" s="169"/>
      <c r="Y288" s="169"/>
      <c r="Z288" s="169"/>
      <c r="AA288" s="169"/>
      <c r="AB288" s="169"/>
      <c r="AC288" s="169"/>
    </row>
    <row r="289" spans="1:29" s="12" customFormat="1" hidden="1" x14ac:dyDescent="0.3">
      <c r="A289" s="169"/>
      <c r="B289" s="169"/>
      <c r="C289" s="169"/>
      <c r="D289" s="169"/>
      <c r="E289" s="169"/>
      <c r="F289" s="169"/>
      <c r="G289" s="169"/>
      <c r="H289" s="169"/>
      <c r="I289" s="169"/>
      <c r="J289" s="169"/>
      <c r="K289" s="169"/>
      <c r="L289" s="169"/>
      <c r="M289" s="169"/>
      <c r="N289" s="169"/>
      <c r="O289" s="169"/>
      <c r="P289" s="169"/>
      <c r="Q289" s="169"/>
      <c r="R289" s="169"/>
      <c r="S289" s="169"/>
      <c r="T289" s="169"/>
      <c r="U289" s="169"/>
      <c r="V289" s="169"/>
      <c r="W289" s="169"/>
      <c r="X289" s="169"/>
      <c r="Y289" s="169"/>
      <c r="Z289" s="169"/>
      <c r="AA289" s="169"/>
      <c r="AB289" s="169"/>
      <c r="AC289" s="169"/>
    </row>
    <row r="290" spans="1:29" s="12" customFormat="1" hidden="1" x14ac:dyDescent="0.3">
      <c r="A290" s="169"/>
      <c r="B290" s="169"/>
      <c r="C290" s="169"/>
      <c r="D290" s="169"/>
      <c r="E290" s="169"/>
      <c r="F290" s="169"/>
      <c r="G290" s="169"/>
      <c r="H290" s="169"/>
      <c r="I290" s="169"/>
      <c r="J290" s="169"/>
      <c r="K290" s="169"/>
      <c r="L290" s="169"/>
      <c r="M290" s="169"/>
      <c r="N290" s="169"/>
      <c r="O290" s="169"/>
      <c r="P290" s="169"/>
      <c r="Q290" s="169"/>
      <c r="R290" s="169"/>
      <c r="S290" s="169"/>
      <c r="T290" s="169"/>
      <c r="U290" s="169"/>
      <c r="V290" s="169"/>
      <c r="W290" s="169"/>
      <c r="X290" s="169"/>
      <c r="Y290" s="169"/>
      <c r="Z290" s="169"/>
      <c r="AA290" s="169"/>
      <c r="AB290" s="169"/>
      <c r="AC290" s="169"/>
    </row>
    <row r="291" spans="1:29" s="12" customFormat="1" hidden="1" x14ac:dyDescent="0.3">
      <c r="A291" s="169"/>
      <c r="B291" s="169"/>
      <c r="C291" s="169"/>
      <c r="D291" s="169"/>
      <c r="E291" s="169"/>
      <c r="F291" s="169"/>
      <c r="G291" s="169"/>
      <c r="H291" s="169"/>
      <c r="I291" s="169"/>
      <c r="J291" s="169"/>
      <c r="K291" s="169"/>
      <c r="L291" s="169"/>
      <c r="M291" s="169"/>
      <c r="N291" s="169"/>
      <c r="O291" s="169"/>
      <c r="P291" s="169"/>
      <c r="Q291" s="169"/>
      <c r="R291" s="169"/>
      <c r="S291" s="169"/>
      <c r="T291" s="169"/>
      <c r="U291" s="169"/>
      <c r="V291" s="169"/>
      <c r="W291" s="169"/>
      <c r="X291" s="169"/>
      <c r="Y291" s="169"/>
      <c r="Z291" s="169"/>
      <c r="AA291" s="169"/>
      <c r="AB291" s="169"/>
      <c r="AC291" s="169"/>
    </row>
    <row r="292" spans="1:29" s="12" customFormat="1" hidden="1" x14ac:dyDescent="0.3">
      <c r="A292" s="169"/>
      <c r="B292" s="169"/>
      <c r="C292" s="169"/>
      <c r="D292" s="169"/>
      <c r="E292" s="169"/>
      <c r="F292" s="169"/>
      <c r="G292" s="169"/>
      <c r="H292" s="169"/>
      <c r="I292" s="169"/>
      <c r="J292" s="169"/>
      <c r="K292" s="169"/>
      <c r="L292" s="169"/>
      <c r="M292" s="169"/>
      <c r="N292" s="169"/>
      <c r="O292" s="169"/>
      <c r="P292" s="169"/>
      <c r="Q292" s="169"/>
      <c r="R292" s="169"/>
      <c r="S292" s="169"/>
      <c r="T292" s="169"/>
      <c r="U292" s="169"/>
      <c r="V292" s="169"/>
      <c r="W292" s="169"/>
      <c r="X292" s="169"/>
      <c r="Y292" s="169"/>
      <c r="Z292" s="169"/>
      <c r="AA292" s="169"/>
      <c r="AB292" s="169"/>
      <c r="AC292" s="169"/>
    </row>
    <row r="293" spans="1:29" s="12" customFormat="1" hidden="1" x14ac:dyDescent="0.3">
      <c r="A293" s="169"/>
      <c r="B293" s="169"/>
      <c r="C293" s="169"/>
      <c r="D293" s="169"/>
      <c r="E293" s="169"/>
      <c r="F293" s="169"/>
      <c r="G293" s="169"/>
      <c r="H293" s="169"/>
      <c r="I293" s="169"/>
      <c r="J293" s="169"/>
      <c r="K293" s="169"/>
      <c r="L293" s="169"/>
      <c r="M293" s="169"/>
      <c r="N293" s="169"/>
      <c r="O293" s="169"/>
      <c r="P293" s="169"/>
      <c r="Q293" s="169"/>
      <c r="R293" s="169"/>
      <c r="S293" s="169"/>
      <c r="T293" s="169"/>
      <c r="U293" s="169"/>
      <c r="V293" s="169"/>
      <c r="W293" s="169"/>
      <c r="X293" s="169"/>
      <c r="Y293" s="169"/>
      <c r="Z293" s="169"/>
      <c r="AA293" s="169"/>
      <c r="AB293" s="169"/>
      <c r="AC293" s="169"/>
    </row>
    <row r="294" spans="1:29" s="12" customFormat="1" hidden="1" x14ac:dyDescent="0.3">
      <c r="A294" s="169"/>
      <c r="B294" s="169"/>
      <c r="C294" s="169"/>
      <c r="D294" s="169"/>
      <c r="E294" s="169"/>
      <c r="F294" s="169"/>
      <c r="G294" s="169"/>
      <c r="H294" s="169"/>
      <c r="I294" s="169"/>
      <c r="J294" s="169"/>
      <c r="K294" s="169"/>
      <c r="L294" s="169"/>
      <c r="M294" s="169"/>
      <c r="N294" s="169"/>
      <c r="O294" s="169"/>
      <c r="P294" s="169"/>
      <c r="Q294" s="169"/>
      <c r="R294" s="169"/>
      <c r="S294" s="169"/>
      <c r="T294" s="169"/>
      <c r="U294" s="169"/>
      <c r="V294" s="169"/>
      <c r="W294" s="169"/>
      <c r="X294" s="169"/>
      <c r="Y294" s="169"/>
      <c r="Z294" s="169"/>
      <c r="AA294" s="169"/>
      <c r="AB294" s="169"/>
      <c r="AC294" s="169"/>
    </row>
    <row r="295" spans="1:29" s="12" customFormat="1" hidden="1" x14ac:dyDescent="0.3">
      <c r="A295" s="169"/>
      <c r="B295" s="169"/>
      <c r="C295" s="169"/>
      <c r="D295" s="169"/>
      <c r="E295" s="169"/>
      <c r="F295" s="169"/>
      <c r="G295" s="169"/>
      <c r="H295" s="169"/>
      <c r="I295" s="169"/>
      <c r="J295" s="169"/>
      <c r="K295" s="169"/>
      <c r="L295" s="169"/>
      <c r="M295" s="169"/>
      <c r="N295" s="169"/>
      <c r="O295" s="169"/>
      <c r="P295" s="169"/>
      <c r="Q295" s="169"/>
      <c r="R295" s="169"/>
      <c r="S295" s="169"/>
      <c r="T295" s="169"/>
      <c r="U295" s="169"/>
      <c r="V295" s="169"/>
      <c r="W295" s="169"/>
      <c r="X295" s="169"/>
      <c r="Y295" s="169"/>
      <c r="Z295" s="169"/>
      <c r="AA295" s="169"/>
      <c r="AB295" s="169"/>
      <c r="AC295" s="169"/>
    </row>
    <row r="296" spans="1:29" s="12" customFormat="1" hidden="1" x14ac:dyDescent="0.3">
      <c r="A296" s="169"/>
      <c r="B296" s="169"/>
      <c r="C296" s="169"/>
      <c r="D296" s="169"/>
      <c r="E296" s="169"/>
      <c r="F296" s="169"/>
      <c r="G296" s="169"/>
      <c r="H296" s="169"/>
      <c r="I296" s="169"/>
      <c r="J296" s="169"/>
      <c r="K296" s="169"/>
      <c r="L296" s="169"/>
      <c r="M296" s="169"/>
      <c r="N296" s="169"/>
      <c r="O296" s="169"/>
      <c r="P296" s="169"/>
      <c r="Q296" s="169"/>
      <c r="R296" s="169"/>
      <c r="S296" s="169"/>
      <c r="T296" s="169"/>
      <c r="U296" s="169"/>
      <c r="V296" s="169"/>
      <c r="W296" s="169"/>
      <c r="X296" s="169"/>
      <c r="Y296" s="169"/>
      <c r="Z296" s="169"/>
      <c r="AA296" s="169"/>
      <c r="AB296" s="169"/>
      <c r="AC296" s="169"/>
    </row>
    <row r="297" spans="1:29" s="12" customFormat="1" hidden="1" x14ac:dyDescent="0.3">
      <c r="A297" s="169"/>
      <c r="B297" s="169"/>
      <c r="C297" s="169"/>
      <c r="D297" s="169"/>
      <c r="E297" s="169"/>
      <c r="F297" s="169"/>
      <c r="G297" s="169"/>
      <c r="H297" s="169"/>
      <c r="I297" s="169"/>
      <c r="J297" s="169"/>
      <c r="K297" s="169"/>
      <c r="L297" s="169"/>
      <c r="M297" s="169"/>
      <c r="N297" s="169"/>
      <c r="O297" s="169"/>
      <c r="P297" s="169"/>
      <c r="Q297" s="169"/>
      <c r="R297" s="169"/>
      <c r="S297" s="169"/>
      <c r="T297" s="169"/>
      <c r="U297" s="169"/>
      <c r="V297" s="169"/>
      <c r="W297" s="169"/>
      <c r="X297" s="169"/>
      <c r="Y297" s="169"/>
      <c r="Z297" s="169"/>
      <c r="AA297" s="169"/>
      <c r="AB297" s="169"/>
      <c r="AC297" s="169"/>
    </row>
    <row r="298" spans="1:29" s="12" customFormat="1" hidden="1" x14ac:dyDescent="0.3">
      <c r="A298" s="169"/>
      <c r="B298" s="169"/>
      <c r="C298" s="169"/>
      <c r="D298" s="169"/>
      <c r="E298" s="169"/>
      <c r="F298" s="169"/>
      <c r="G298" s="169"/>
      <c r="H298" s="169"/>
      <c r="I298" s="169"/>
      <c r="J298" s="169"/>
      <c r="K298" s="169"/>
      <c r="L298" s="169"/>
      <c r="M298" s="169"/>
      <c r="N298" s="169"/>
      <c r="O298" s="169"/>
      <c r="P298" s="169"/>
      <c r="Q298" s="169"/>
      <c r="R298" s="169"/>
      <c r="S298" s="169"/>
      <c r="T298" s="169"/>
      <c r="U298" s="169"/>
      <c r="V298" s="169"/>
      <c r="W298" s="169"/>
      <c r="X298" s="169"/>
      <c r="Y298" s="169"/>
      <c r="Z298" s="169"/>
      <c r="AA298" s="169"/>
      <c r="AB298" s="169"/>
      <c r="AC298" s="169"/>
    </row>
    <row r="299" spans="1:29" s="12" customFormat="1" hidden="1" x14ac:dyDescent="0.3">
      <c r="A299" s="169"/>
      <c r="B299" s="169"/>
      <c r="C299" s="169"/>
      <c r="D299" s="169"/>
      <c r="E299" s="169"/>
      <c r="F299" s="169"/>
      <c r="G299" s="169"/>
      <c r="H299" s="169"/>
      <c r="I299" s="169"/>
      <c r="J299" s="169"/>
      <c r="K299" s="169"/>
      <c r="L299" s="169"/>
      <c r="M299" s="169"/>
      <c r="N299" s="169"/>
      <c r="O299" s="169"/>
      <c r="P299" s="169"/>
      <c r="Q299" s="169"/>
      <c r="R299" s="169"/>
      <c r="S299" s="169"/>
      <c r="T299" s="169"/>
      <c r="U299" s="169"/>
      <c r="V299" s="169"/>
      <c r="W299" s="169"/>
      <c r="X299" s="169"/>
      <c r="Y299" s="169"/>
      <c r="Z299" s="169"/>
      <c r="AA299" s="169"/>
      <c r="AB299" s="169"/>
      <c r="AC299" s="169"/>
    </row>
    <row r="300" spans="1:29" s="12" customFormat="1" hidden="1" x14ac:dyDescent="0.3">
      <c r="A300" s="169"/>
      <c r="B300" s="169"/>
      <c r="C300" s="169"/>
      <c r="D300" s="169"/>
      <c r="E300" s="169"/>
      <c r="F300" s="169"/>
      <c r="G300" s="169"/>
      <c r="H300" s="169"/>
      <c r="I300" s="169"/>
      <c r="J300" s="169"/>
      <c r="K300" s="169"/>
      <c r="L300" s="169"/>
      <c r="M300" s="169"/>
      <c r="N300" s="169"/>
      <c r="O300" s="169"/>
      <c r="P300" s="169"/>
      <c r="Q300" s="169"/>
      <c r="R300" s="169"/>
      <c r="S300" s="169"/>
      <c r="T300" s="169"/>
      <c r="U300" s="169"/>
      <c r="V300" s="169"/>
      <c r="W300" s="169"/>
      <c r="X300" s="169"/>
      <c r="Y300" s="169"/>
      <c r="Z300" s="169"/>
      <c r="AA300" s="169"/>
      <c r="AB300" s="169"/>
      <c r="AC300" s="169"/>
    </row>
    <row r="301" spans="1:29" s="12" customFormat="1" hidden="1" x14ac:dyDescent="0.3">
      <c r="A301" s="169"/>
      <c r="B301" s="169"/>
      <c r="C301" s="169"/>
      <c r="D301" s="169"/>
      <c r="E301" s="169"/>
      <c r="F301" s="169"/>
      <c r="G301" s="169"/>
      <c r="H301" s="169"/>
      <c r="I301" s="169"/>
      <c r="J301" s="169"/>
      <c r="K301" s="169"/>
      <c r="L301" s="169"/>
      <c r="M301" s="169"/>
      <c r="N301" s="169"/>
      <c r="O301" s="169"/>
      <c r="P301" s="169"/>
      <c r="Q301" s="169"/>
      <c r="R301" s="169"/>
      <c r="S301" s="169"/>
      <c r="T301" s="169"/>
      <c r="U301" s="169"/>
      <c r="V301" s="169"/>
      <c r="W301" s="169"/>
      <c r="X301" s="169"/>
      <c r="Y301" s="169"/>
      <c r="Z301" s="169"/>
      <c r="AA301" s="169"/>
      <c r="AB301" s="169"/>
      <c r="AC301" s="169"/>
    </row>
    <row r="302" spans="1:29" s="12" customFormat="1" hidden="1" x14ac:dyDescent="0.3">
      <c r="A302" s="169"/>
      <c r="B302" s="169"/>
      <c r="C302" s="169"/>
      <c r="D302" s="169"/>
      <c r="E302" s="169"/>
      <c r="F302" s="169"/>
      <c r="G302" s="169"/>
      <c r="H302" s="169"/>
      <c r="I302" s="169"/>
      <c r="J302" s="169"/>
      <c r="K302" s="169"/>
      <c r="L302" s="169"/>
      <c r="M302" s="169"/>
      <c r="N302" s="169"/>
      <c r="O302" s="169"/>
      <c r="P302" s="169"/>
      <c r="Q302" s="169"/>
      <c r="R302" s="169"/>
      <c r="S302" s="169"/>
      <c r="T302" s="169"/>
      <c r="U302" s="169"/>
      <c r="V302" s="169"/>
      <c r="W302" s="169"/>
      <c r="X302" s="169"/>
      <c r="Y302" s="169"/>
      <c r="Z302" s="169"/>
      <c r="AA302" s="169"/>
      <c r="AB302" s="169"/>
      <c r="AC302" s="169"/>
    </row>
    <row r="303" spans="1:29" s="12" customFormat="1" hidden="1" x14ac:dyDescent="0.3">
      <c r="A303" s="169"/>
      <c r="B303" s="169"/>
      <c r="C303" s="169"/>
      <c r="D303" s="169"/>
      <c r="E303" s="169"/>
      <c r="F303" s="169"/>
      <c r="G303" s="169"/>
      <c r="H303" s="169"/>
      <c r="I303" s="169"/>
      <c r="J303" s="169"/>
      <c r="K303" s="169"/>
      <c r="L303" s="169"/>
      <c r="M303" s="169"/>
      <c r="N303" s="169"/>
      <c r="O303" s="169"/>
      <c r="P303" s="169"/>
      <c r="Q303" s="169"/>
      <c r="R303" s="169"/>
      <c r="S303" s="169"/>
      <c r="T303" s="169"/>
      <c r="U303" s="169"/>
      <c r="V303" s="169"/>
      <c r="W303" s="169"/>
      <c r="X303" s="169"/>
      <c r="Y303" s="169"/>
      <c r="Z303" s="169"/>
      <c r="AA303" s="169"/>
      <c r="AB303" s="169"/>
      <c r="AC303" s="169"/>
    </row>
    <row r="304" spans="1:29" s="12" customFormat="1" hidden="1" x14ac:dyDescent="0.3">
      <c r="A304" s="169"/>
      <c r="B304" s="169"/>
      <c r="C304" s="169"/>
      <c r="D304" s="169"/>
      <c r="E304" s="169"/>
      <c r="F304" s="169"/>
      <c r="G304" s="169"/>
      <c r="H304" s="169"/>
      <c r="I304" s="169"/>
      <c r="J304" s="169"/>
      <c r="K304" s="169"/>
      <c r="L304" s="169"/>
      <c r="M304" s="169"/>
      <c r="N304" s="169"/>
      <c r="O304" s="169"/>
      <c r="P304" s="169"/>
      <c r="Q304" s="169"/>
      <c r="R304" s="169"/>
      <c r="S304" s="169"/>
      <c r="T304" s="169"/>
      <c r="U304" s="169"/>
      <c r="V304" s="169"/>
      <c r="W304" s="169"/>
      <c r="X304" s="169"/>
      <c r="Y304" s="169"/>
      <c r="Z304" s="169"/>
      <c r="AA304" s="169"/>
      <c r="AB304" s="169"/>
      <c r="AC304" s="169"/>
    </row>
    <row r="305" spans="1:29" s="12" customFormat="1" hidden="1" x14ac:dyDescent="0.3">
      <c r="A305" s="169"/>
      <c r="B305" s="169"/>
      <c r="C305" s="169"/>
      <c r="D305" s="169"/>
      <c r="E305" s="169"/>
      <c r="F305" s="169"/>
      <c r="G305" s="169"/>
      <c r="H305" s="169"/>
      <c r="I305" s="169"/>
      <c r="J305" s="169"/>
      <c r="K305" s="169"/>
      <c r="L305" s="169"/>
      <c r="M305" s="169"/>
      <c r="N305" s="169"/>
      <c r="O305" s="169"/>
      <c r="P305" s="169"/>
      <c r="Q305" s="169"/>
      <c r="R305" s="169"/>
      <c r="S305" s="169"/>
      <c r="T305" s="169"/>
      <c r="U305" s="169"/>
      <c r="V305" s="169"/>
      <c r="W305" s="169"/>
      <c r="X305" s="169"/>
      <c r="Y305" s="169"/>
      <c r="Z305" s="169"/>
      <c r="AA305" s="169"/>
      <c r="AB305" s="169"/>
      <c r="AC305" s="169"/>
    </row>
    <row r="306" spans="1:29" s="12" customFormat="1" hidden="1" x14ac:dyDescent="0.3">
      <c r="A306" s="169"/>
      <c r="B306" s="169"/>
      <c r="C306" s="169"/>
      <c r="D306" s="169"/>
      <c r="E306" s="169"/>
      <c r="F306" s="169"/>
      <c r="G306" s="169"/>
      <c r="H306" s="169"/>
      <c r="I306" s="169"/>
      <c r="J306" s="169"/>
      <c r="K306" s="169"/>
      <c r="L306" s="169"/>
      <c r="M306" s="169"/>
      <c r="N306" s="169"/>
      <c r="O306" s="169"/>
      <c r="P306" s="169"/>
      <c r="Q306" s="169"/>
      <c r="R306" s="169"/>
      <c r="S306" s="169"/>
      <c r="T306" s="169"/>
      <c r="U306" s="169"/>
      <c r="V306" s="169"/>
      <c r="W306" s="169"/>
      <c r="X306" s="169"/>
      <c r="Y306" s="169"/>
      <c r="Z306" s="169"/>
      <c r="AA306" s="169"/>
      <c r="AB306" s="169"/>
      <c r="AC306" s="169"/>
    </row>
    <row r="307" spans="1:29" s="12" customFormat="1" hidden="1" x14ac:dyDescent="0.3">
      <c r="A307" s="169"/>
      <c r="B307" s="169"/>
      <c r="C307" s="169"/>
      <c r="D307" s="169"/>
      <c r="E307" s="169"/>
      <c r="F307" s="169"/>
      <c r="G307" s="169"/>
      <c r="H307" s="169"/>
      <c r="I307" s="169"/>
      <c r="J307" s="169"/>
      <c r="K307" s="169"/>
      <c r="L307" s="169"/>
      <c r="M307" s="169"/>
      <c r="N307" s="169"/>
      <c r="O307" s="169"/>
      <c r="P307" s="169"/>
      <c r="Q307" s="169"/>
      <c r="R307" s="169"/>
      <c r="S307" s="169"/>
      <c r="T307" s="169"/>
      <c r="U307" s="169"/>
      <c r="V307" s="169"/>
      <c r="W307" s="169"/>
      <c r="X307" s="169"/>
      <c r="Y307" s="169"/>
      <c r="Z307" s="169"/>
      <c r="AA307" s="169"/>
      <c r="AB307" s="169"/>
      <c r="AC307" s="169"/>
    </row>
    <row r="308" spans="1:29" s="12" customFormat="1" hidden="1" x14ac:dyDescent="0.3">
      <c r="A308" s="169"/>
      <c r="B308" s="169"/>
      <c r="C308" s="169"/>
      <c r="D308" s="169"/>
      <c r="E308" s="169"/>
      <c r="F308" s="169"/>
      <c r="G308" s="169"/>
      <c r="H308" s="169"/>
      <c r="I308" s="169"/>
      <c r="J308" s="169"/>
      <c r="K308" s="169"/>
      <c r="L308" s="169"/>
      <c r="M308" s="169"/>
      <c r="N308" s="169"/>
      <c r="O308" s="169"/>
      <c r="P308" s="169"/>
      <c r="Q308" s="169"/>
      <c r="R308" s="169"/>
      <c r="S308" s="169"/>
      <c r="T308" s="169"/>
      <c r="U308" s="169"/>
      <c r="V308" s="169"/>
      <c r="W308" s="169"/>
      <c r="X308" s="169"/>
      <c r="Y308" s="169"/>
      <c r="Z308" s="169"/>
      <c r="AA308" s="169"/>
      <c r="AB308" s="169"/>
      <c r="AC308" s="169"/>
    </row>
    <row r="309" spans="1:29" s="12" customFormat="1" hidden="1" x14ac:dyDescent="0.3">
      <c r="A309" s="169"/>
      <c r="B309" s="169"/>
      <c r="C309" s="169"/>
      <c r="D309" s="169"/>
      <c r="E309" s="169"/>
      <c r="F309" s="169"/>
      <c r="G309" s="169"/>
      <c r="H309" s="169"/>
      <c r="I309" s="169"/>
      <c r="J309" s="169"/>
      <c r="K309" s="169"/>
      <c r="L309" s="169"/>
      <c r="M309" s="169"/>
      <c r="N309" s="169"/>
      <c r="O309" s="169"/>
      <c r="P309" s="169"/>
      <c r="Q309" s="169"/>
      <c r="R309" s="169"/>
      <c r="S309" s="169"/>
      <c r="T309" s="169"/>
      <c r="U309" s="169"/>
      <c r="V309" s="169"/>
      <c r="W309" s="169"/>
      <c r="X309" s="169"/>
      <c r="Y309" s="169"/>
      <c r="Z309" s="169"/>
      <c r="AA309" s="169"/>
      <c r="AB309" s="169"/>
      <c r="AC309" s="169"/>
    </row>
    <row r="310" spans="1:29" s="12" customFormat="1" hidden="1" x14ac:dyDescent="0.3">
      <c r="A310" s="169"/>
      <c r="B310" s="169"/>
      <c r="C310" s="169"/>
      <c r="D310" s="169"/>
      <c r="E310" s="169"/>
      <c r="F310" s="169"/>
      <c r="G310" s="169"/>
      <c r="H310" s="169"/>
      <c r="I310" s="169"/>
      <c r="J310" s="169"/>
      <c r="K310" s="169"/>
      <c r="L310" s="169"/>
      <c r="M310" s="169"/>
      <c r="N310" s="169"/>
      <c r="O310" s="169"/>
      <c r="P310" s="169"/>
      <c r="Q310" s="169"/>
      <c r="R310" s="169"/>
      <c r="S310" s="169"/>
      <c r="T310" s="169"/>
      <c r="U310" s="169"/>
      <c r="V310" s="169"/>
      <c r="W310" s="169"/>
      <c r="X310" s="169"/>
      <c r="Y310" s="169"/>
      <c r="Z310" s="169"/>
      <c r="AA310" s="169"/>
      <c r="AB310" s="169"/>
      <c r="AC310" s="169"/>
    </row>
    <row r="311" spans="1:29" s="12" customFormat="1" hidden="1" x14ac:dyDescent="0.3">
      <c r="A311" s="169"/>
      <c r="B311" s="169"/>
      <c r="C311" s="169"/>
      <c r="D311" s="169"/>
      <c r="E311" s="169"/>
      <c r="F311" s="169"/>
      <c r="G311" s="169"/>
      <c r="H311" s="169"/>
      <c r="I311" s="169"/>
      <c r="J311" s="169"/>
      <c r="K311" s="169"/>
      <c r="L311" s="169"/>
      <c r="M311" s="169"/>
      <c r="N311" s="169"/>
      <c r="O311" s="169"/>
      <c r="P311" s="169"/>
      <c r="Q311" s="169"/>
      <c r="R311" s="169"/>
      <c r="S311" s="169"/>
      <c r="T311" s="169"/>
      <c r="U311" s="169"/>
      <c r="V311" s="169"/>
      <c r="W311" s="169"/>
      <c r="X311" s="169"/>
      <c r="Y311" s="169"/>
      <c r="Z311" s="169"/>
      <c r="AA311" s="169"/>
      <c r="AB311" s="169"/>
      <c r="AC311" s="169"/>
    </row>
    <row r="312" spans="1:29" s="12" customFormat="1" hidden="1" x14ac:dyDescent="0.3">
      <c r="A312" s="169"/>
      <c r="B312" s="169"/>
      <c r="C312" s="169"/>
      <c r="D312" s="169"/>
      <c r="E312" s="169"/>
      <c r="F312" s="169"/>
      <c r="G312" s="169"/>
      <c r="H312" s="169"/>
      <c r="I312" s="169"/>
      <c r="J312" s="169"/>
      <c r="K312" s="169"/>
      <c r="L312" s="169"/>
      <c r="M312" s="169"/>
      <c r="N312" s="169"/>
      <c r="O312" s="169"/>
      <c r="P312" s="169"/>
      <c r="Q312" s="169"/>
      <c r="R312" s="169"/>
      <c r="S312" s="169"/>
      <c r="T312" s="169"/>
      <c r="U312" s="169"/>
      <c r="V312" s="169"/>
      <c r="W312" s="169"/>
      <c r="X312" s="169"/>
      <c r="Y312" s="169"/>
      <c r="Z312" s="169"/>
      <c r="AA312" s="169"/>
      <c r="AB312" s="169"/>
      <c r="AC312" s="169"/>
    </row>
    <row r="313" spans="1:29" s="12" customFormat="1" hidden="1" x14ac:dyDescent="0.3">
      <c r="A313" s="169"/>
      <c r="B313" s="169"/>
      <c r="C313" s="169"/>
      <c r="D313" s="169"/>
      <c r="E313" s="169"/>
      <c r="F313" s="169"/>
      <c r="G313" s="169"/>
      <c r="H313" s="169"/>
      <c r="I313" s="169"/>
      <c r="J313" s="169"/>
      <c r="K313" s="169"/>
      <c r="L313" s="169"/>
      <c r="M313" s="169"/>
      <c r="N313" s="169"/>
      <c r="O313" s="169"/>
      <c r="P313" s="169"/>
      <c r="Q313" s="169"/>
      <c r="R313" s="169"/>
      <c r="S313" s="169"/>
      <c r="T313" s="169"/>
      <c r="U313" s="169"/>
      <c r="V313" s="169"/>
      <c r="W313" s="169"/>
      <c r="X313" s="169"/>
      <c r="Y313" s="169"/>
      <c r="Z313" s="169"/>
      <c r="AA313" s="169"/>
      <c r="AB313" s="169"/>
      <c r="AC313" s="169"/>
    </row>
    <row r="314" spans="1:29" s="12" customFormat="1" hidden="1" x14ac:dyDescent="0.3">
      <c r="A314" s="169"/>
      <c r="B314" s="169"/>
      <c r="C314" s="169"/>
      <c r="D314" s="169"/>
      <c r="E314" s="169"/>
      <c r="F314" s="169"/>
      <c r="G314" s="169"/>
      <c r="H314" s="169"/>
      <c r="I314" s="169"/>
      <c r="J314" s="169"/>
      <c r="K314" s="169"/>
      <c r="L314" s="169"/>
      <c r="M314" s="169"/>
      <c r="N314" s="169"/>
      <c r="O314" s="169"/>
      <c r="P314" s="169"/>
      <c r="Q314" s="169"/>
      <c r="R314" s="169"/>
      <c r="S314" s="169"/>
      <c r="T314" s="169"/>
      <c r="U314" s="169"/>
      <c r="V314" s="169"/>
      <c r="W314" s="169"/>
      <c r="X314" s="169"/>
      <c r="Y314" s="169"/>
      <c r="Z314" s="169"/>
      <c r="AA314" s="169"/>
      <c r="AB314" s="169"/>
      <c r="AC314" s="169"/>
    </row>
    <row r="315" spans="1:29" s="12" customFormat="1" hidden="1" x14ac:dyDescent="0.3">
      <c r="A315" s="169"/>
      <c r="B315" s="169"/>
      <c r="C315" s="169"/>
      <c r="D315" s="169"/>
      <c r="E315" s="169"/>
      <c r="F315" s="169"/>
      <c r="G315" s="169"/>
      <c r="H315" s="169"/>
      <c r="I315" s="169"/>
      <c r="J315" s="169"/>
      <c r="K315" s="169"/>
      <c r="L315" s="169"/>
      <c r="M315" s="169"/>
      <c r="N315" s="169"/>
      <c r="O315" s="169"/>
      <c r="P315" s="169"/>
      <c r="Q315" s="169"/>
      <c r="R315" s="169"/>
      <c r="S315" s="169"/>
      <c r="T315" s="169"/>
      <c r="U315" s="169"/>
      <c r="V315" s="169"/>
      <c r="W315" s="169"/>
      <c r="X315" s="169"/>
      <c r="Y315" s="169"/>
      <c r="Z315" s="169"/>
      <c r="AA315" s="169"/>
      <c r="AB315" s="169"/>
      <c r="AC315" s="169"/>
    </row>
    <row r="316" spans="1:29" s="12" customFormat="1" hidden="1" x14ac:dyDescent="0.3">
      <c r="A316" s="169"/>
      <c r="B316" s="169"/>
      <c r="C316" s="169"/>
      <c r="D316" s="169"/>
      <c r="E316" s="169"/>
      <c r="F316" s="169"/>
      <c r="G316" s="169"/>
      <c r="H316" s="169"/>
      <c r="I316" s="169"/>
      <c r="J316" s="169"/>
      <c r="K316" s="169"/>
      <c r="L316" s="169"/>
      <c r="M316" s="169"/>
      <c r="N316" s="169"/>
      <c r="O316" s="169"/>
      <c r="P316" s="169"/>
      <c r="Q316" s="169"/>
      <c r="R316" s="169"/>
      <c r="S316" s="169"/>
      <c r="T316" s="169"/>
      <c r="U316" s="169"/>
      <c r="V316" s="169"/>
      <c r="W316" s="169"/>
      <c r="X316" s="169"/>
      <c r="Y316" s="169"/>
      <c r="Z316" s="169"/>
      <c r="AA316" s="169"/>
      <c r="AB316" s="169"/>
      <c r="AC316" s="169"/>
    </row>
    <row r="317" spans="1:29" s="12" customFormat="1" hidden="1" x14ac:dyDescent="0.3">
      <c r="A317" s="169"/>
      <c r="B317" s="169"/>
      <c r="C317" s="169"/>
      <c r="D317" s="169"/>
      <c r="E317" s="169"/>
      <c r="F317" s="169"/>
      <c r="G317" s="169"/>
      <c r="H317" s="169"/>
      <c r="I317" s="169"/>
      <c r="J317" s="169"/>
      <c r="K317" s="169"/>
      <c r="L317" s="169"/>
      <c r="M317" s="169"/>
      <c r="N317" s="169"/>
      <c r="O317" s="169"/>
      <c r="P317" s="169"/>
      <c r="Q317" s="169"/>
      <c r="R317" s="169"/>
      <c r="S317" s="169"/>
      <c r="T317" s="169"/>
      <c r="U317" s="169"/>
      <c r="V317" s="169"/>
      <c r="W317" s="169"/>
      <c r="X317" s="169"/>
      <c r="Y317" s="169"/>
      <c r="Z317" s="169"/>
      <c r="AA317" s="169"/>
      <c r="AB317" s="169"/>
      <c r="AC317" s="169"/>
    </row>
    <row r="318" spans="1:29" s="12" customFormat="1" hidden="1" x14ac:dyDescent="0.3">
      <c r="A318" s="169"/>
      <c r="B318" s="169"/>
      <c r="C318" s="169"/>
      <c r="D318" s="169"/>
      <c r="E318" s="169"/>
      <c r="F318" s="169"/>
      <c r="G318" s="169"/>
      <c r="H318" s="169"/>
      <c r="I318" s="169"/>
      <c r="J318" s="169"/>
      <c r="K318" s="169"/>
      <c r="L318" s="169"/>
      <c r="M318" s="169"/>
      <c r="N318" s="169"/>
      <c r="O318" s="169"/>
      <c r="P318" s="169"/>
      <c r="Q318" s="169"/>
      <c r="R318" s="169"/>
      <c r="S318" s="169"/>
      <c r="T318" s="169"/>
      <c r="U318" s="169"/>
      <c r="V318" s="169"/>
      <c r="W318" s="169"/>
      <c r="X318" s="169"/>
      <c r="Y318" s="169"/>
      <c r="Z318" s="169"/>
      <c r="AA318" s="169"/>
      <c r="AB318" s="169"/>
      <c r="AC318" s="169"/>
    </row>
    <row r="319" spans="1:29" s="12" customFormat="1" hidden="1" x14ac:dyDescent="0.3">
      <c r="A319" s="169"/>
      <c r="B319" s="169"/>
      <c r="C319" s="169"/>
      <c r="D319" s="169"/>
      <c r="E319" s="169"/>
      <c r="F319" s="169"/>
      <c r="G319" s="169"/>
      <c r="H319" s="169"/>
      <c r="I319" s="169"/>
      <c r="J319" s="169"/>
      <c r="K319" s="169"/>
      <c r="L319" s="169"/>
      <c r="M319" s="169"/>
      <c r="N319" s="169"/>
      <c r="O319" s="169"/>
      <c r="P319" s="169"/>
      <c r="Q319" s="169"/>
      <c r="R319" s="169"/>
      <c r="S319" s="169"/>
      <c r="T319" s="169"/>
      <c r="U319" s="169"/>
      <c r="V319" s="169"/>
      <c r="W319" s="169"/>
      <c r="X319" s="169"/>
      <c r="Y319" s="169"/>
      <c r="Z319" s="169"/>
      <c r="AA319" s="169"/>
      <c r="AB319" s="169"/>
      <c r="AC319" s="169"/>
    </row>
    <row r="320" spans="1:29" s="12" customFormat="1" hidden="1" x14ac:dyDescent="0.3">
      <c r="A320" s="169"/>
      <c r="B320" s="169"/>
      <c r="C320" s="169"/>
      <c r="D320" s="169"/>
      <c r="E320" s="169"/>
      <c r="F320" s="169"/>
      <c r="G320" s="169"/>
      <c r="H320" s="169"/>
      <c r="I320" s="169"/>
      <c r="J320" s="169"/>
      <c r="K320" s="169"/>
      <c r="L320" s="169"/>
      <c r="M320" s="169"/>
      <c r="N320" s="169"/>
      <c r="O320" s="169"/>
      <c r="P320" s="169"/>
      <c r="Q320" s="169"/>
      <c r="R320" s="169"/>
      <c r="S320" s="169"/>
      <c r="T320" s="169"/>
      <c r="U320" s="169"/>
      <c r="V320" s="169"/>
      <c r="W320" s="169"/>
      <c r="X320" s="169"/>
      <c r="Y320" s="169"/>
      <c r="Z320" s="169"/>
      <c r="AA320" s="169"/>
      <c r="AB320" s="169"/>
      <c r="AC320" s="169"/>
    </row>
    <row r="321" spans="1:29" s="12" customFormat="1" hidden="1" x14ac:dyDescent="0.3">
      <c r="A321" s="169"/>
      <c r="B321" s="169"/>
      <c r="C321" s="169"/>
      <c r="D321" s="169"/>
      <c r="E321" s="169"/>
      <c r="F321" s="169"/>
      <c r="G321" s="169"/>
      <c r="H321" s="169"/>
      <c r="I321" s="169"/>
      <c r="J321" s="169"/>
      <c r="K321" s="169"/>
      <c r="L321" s="169"/>
      <c r="M321" s="169"/>
      <c r="N321" s="169"/>
      <c r="O321" s="169"/>
      <c r="P321" s="169"/>
      <c r="Q321" s="169"/>
      <c r="R321" s="169"/>
      <c r="S321" s="169"/>
      <c r="T321" s="169"/>
      <c r="U321" s="169"/>
      <c r="V321" s="169"/>
      <c r="W321" s="169"/>
      <c r="X321" s="169"/>
      <c r="Y321" s="169"/>
      <c r="Z321" s="169"/>
      <c r="AA321" s="169"/>
      <c r="AB321" s="169"/>
      <c r="AC321" s="169"/>
    </row>
    <row r="322" spans="1:29" s="12" customFormat="1" hidden="1" x14ac:dyDescent="0.3">
      <c r="A322" s="169"/>
      <c r="B322" s="169"/>
      <c r="C322" s="169"/>
      <c r="D322" s="169"/>
      <c r="E322" s="169"/>
      <c r="F322" s="169"/>
      <c r="G322" s="169"/>
      <c r="H322" s="169"/>
      <c r="I322" s="169"/>
      <c r="J322" s="169"/>
      <c r="K322" s="169"/>
      <c r="L322" s="169"/>
      <c r="M322" s="169"/>
      <c r="N322" s="169"/>
      <c r="O322" s="169"/>
      <c r="P322" s="169"/>
      <c r="Q322" s="169"/>
      <c r="R322" s="169"/>
      <c r="S322" s="169"/>
      <c r="T322" s="169"/>
      <c r="U322" s="169"/>
      <c r="V322" s="169"/>
      <c r="W322" s="169"/>
      <c r="X322" s="169"/>
      <c r="Y322" s="169"/>
      <c r="Z322" s="169"/>
      <c r="AA322" s="169"/>
      <c r="AB322" s="169"/>
      <c r="AC322" s="169"/>
    </row>
    <row r="323" spans="1:29" s="12" customFormat="1" hidden="1" x14ac:dyDescent="0.3">
      <c r="A323" s="169"/>
      <c r="B323" s="169"/>
      <c r="C323" s="169"/>
      <c r="D323" s="169"/>
      <c r="E323" s="169"/>
      <c r="F323" s="169"/>
      <c r="G323" s="169"/>
      <c r="H323" s="169"/>
      <c r="I323" s="169"/>
      <c r="J323" s="169"/>
      <c r="K323" s="169"/>
      <c r="L323" s="169"/>
      <c r="M323" s="169"/>
      <c r="N323" s="169"/>
      <c r="O323" s="169"/>
      <c r="P323" s="169"/>
      <c r="Q323" s="169"/>
      <c r="R323" s="169"/>
      <c r="S323" s="169"/>
      <c r="T323" s="169"/>
      <c r="U323" s="169"/>
      <c r="V323" s="169"/>
      <c r="W323" s="169"/>
      <c r="X323" s="169"/>
      <c r="Y323" s="169"/>
      <c r="Z323" s="169"/>
      <c r="AA323" s="169"/>
      <c r="AB323" s="169"/>
      <c r="AC323" s="169"/>
    </row>
    <row r="324" spans="1:29" s="12" customFormat="1" hidden="1" x14ac:dyDescent="0.3">
      <c r="A324" s="169"/>
      <c r="B324" s="169"/>
      <c r="C324" s="169"/>
      <c r="D324" s="169"/>
      <c r="E324" s="169"/>
      <c r="F324" s="169"/>
      <c r="G324" s="169"/>
      <c r="H324" s="169"/>
      <c r="I324" s="169"/>
      <c r="J324" s="169"/>
      <c r="K324" s="169"/>
      <c r="L324" s="169"/>
      <c r="M324" s="169"/>
      <c r="N324" s="169"/>
      <c r="O324" s="169"/>
      <c r="P324" s="169"/>
      <c r="Q324" s="169"/>
      <c r="R324" s="169"/>
      <c r="S324" s="169"/>
      <c r="T324" s="169"/>
      <c r="U324" s="169"/>
      <c r="V324" s="169"/>
      <c r="W324" s="169"/>
      <c r="X324" s="169"/>
      <c r="Y324" s="169"/>
      <c r="Z324" s="169"/>
      <c r="AA324" s="169"/>
      <c r="AB324" s="169"/>
      <c r="AC324" s="169"/>
    </row>
    <row r="325" spans="1:29" s="12" customFormat="1" hidden="1" x14ac:dyDescent="0.3">
      <c r="A325" s="169"/>
      <c r="B325" s="169"/>
      <c r="C325" s="169"/>
      <c r="D325" s="169"/>
      <c r="E325" s="169"/>
      <c r="F325" s="169"/>
      <c r="G325" s="169"/>
      <c r="H325" s="169"/>
      <c r="I325" s="169"/>
      <c r="J325" s="169"/>
      <c r="K325" s="169"/>
      <c r="L325" s="169"/>
      <c r="M325" s="169"/>
      <c r="N325" s="169"/>
      <c r="O325" s="169"/>
      <c r="P325" s="169"/>
      <c r="Q325" s="169"/>
      <c r="R325" s="169"/>
      <c r="S325" s="169"/>
      <c r="T325" s="169"/>
      <c r="U325" s="169"/>
      <c r="V325" s="169"/>
      <c r="W325" s="169"/>
      <c r="X325" s="169"/>
      <c r="Y325" s="169"/>
      <c r="Z325" s="169"/>
      <c r="AA325" s="169"/>
      <c r="AB325" s="169"/>
      <c r="AC325" s="169"/>
    </row>
    <row r="326" spans="1:29" s="12" customFormat="1" hidden="1" x14ac:dyDescent="0.3">
      <c r="A326" s="169"/>
      <c r="B326" s="169"/>
      <c r="C326" s="169"/>
      <c r="D326" s="169"/>
      <c r="E326" s="169"/>
      <c r="F326" s="169"/>
      <c r="G326" s="169"/>
      <c r="H326" s="169"/>
      <c r="I326" s="169"/>
      <c r="J326" s="169"/>
      <c r="K326" s="169"/>
      <c r="L326" s="169"/>
      <c r="M326" s="169"/>
      <c r="N326" s="169"/>
      <c r="O326" s="169"/>
      <c r="P326" s="169"/>
      <c r="Q326" s="169"/>
      <c r="R326" s="169"/>
      <c r="S326" s="169"/>
      <c r="T326" s="169"/>
      <c r="U326" s="169"/>
      <c r="V326" s="169"/>
      <c r="W326" s="169"/>
      <c r="X326" s="169"/>
      <c r="Y326" s="169"/>
      <c r="Z326" s="169"/>
      <c r="AA326" s="169"/>
      <c r="AB326" s="169"/>
      <c r="AC326" s="169"/>
    </row>
    <row r="327" spans="1:29" s="12" customFormat="1" hidden="1" x14ac:dyDescent="0.3">
      <c r="A327" s="169"/>
      <c r="B327" s="169"/>
      <c r="C327" s="169"/>
      <c r="D327" s="169"/>
      <c r="E327" s="169"/>
      <c r="F327" s="169"/>
      <c r="G327" s="169"/>
      <c r="H327" s="169"/>
      <c r="I327" s="169"/>
      <c r="J327" s="169"/>
      <c r="K327" s="169"/>
      <c r="L327" s="169"/>
      <c r="M327" s="169"/>
      <c r="N327" s="169"/>
      <c r="O327" s="169"/>
      <c r="P327" s="169"/>
      <c r="Q327" s="169"/>
      <c r="R327" s="169"/>
      <c r="S327" s="169"/>
      <c r="T327" s="169"/>
      <c r="U327" s="169"/>
      <c r="V327" s="169"/>
      <c r="W327" s="169"/>
      <c r="X327" s="169"/>
      <c r="Y327" s="169"/>
      <c r="Z327" s="169"/>
      <c r="AA327" s="169"/>
      <c r="AB327" s="169"/>
      <c r="AC327" s="169"/>
    </row>
    <row r="328" spans="1:29" s="12" customFormat="1" hidden="1" x14ac:dyDescent="0.3">
      <c r="A328" s="169"/>
      <c r="B328" s="169"/>
      <c r="C328" s="169"/>
      <c r="D328" s="169"/>
      <c r="E328" s="169"/>
      <c r="F328" s="169"/>
      <c r="G328" s="169"/>
      <c r="H328" s="169"/>
      <c r="I328" s="169"/>
      <c r="J328" s="169"/>
      <c r="K328" s="169"/>
      <c r="L328" s="169"/>
      <c r="M328" s="169"/>
      <c r="N328" s="169"/>
      <c r="O328" s="169"/>
      <c r="P328" s="169"/>
      <c r="Q328" s="169"/>
      <c r="R328" s="169"/>
      <c r="S328" s="169"/>
      <c r="T328" s="169"/>
      <c r="U328" s="169"/>
      <c r="V328" s="169"/>
      <c r="W328" s="169"/>
      <c r="X328" s="169"/>
      <c r="Y328" s="169"/>
      <c r="Z328" s="169"/>
      <c r="AA328" s="169"/>
      <c r="AB328" s="169"/>
      <c r="AC328" s="169"/>
    </row>
    <row r="329" spans="1:29" s="12" customFormat="1" hidden="1" x14ac:dyDescent="0.3">
      <c r="A329" s="169"/>
      <c r="B329" s="169"/>
      <c r="C329" s="169"/>
      <c r="D329" s="169"/>
      <c r="E329" s="169"/>
      <c r="F329" s="169"/>
      <c r="G329" s="169"/>
      <c r="H329" s="169"/>
      <c r="I329" s="169"/>
      <c r="J329" s="169"/>
      <c r="K329" s="169"/>
      <c r="L329" s="169"/>
      <c r="M329" s="169"/>
      <c r="N329" s="169"/>
      <c r="O329" s="169"/>
      <c r="P329" s="169"/>
      <c r="Q329" s="169"/>
      <c r="R329" s="169"/>
      <c r="S329" s="169"/>
      <c r="T329" s="169"/>
      <c r="U329" s="169"/>
      <c r="V329" s="169"/>
      <c r="W329" s="169"/>
      <c r="X329" s="169"/>
      <c r="Y329" s="169"/>
      <c r="Z329" s="169"/>
      <c r="AA329" s="169"/>
      <c r="AB329" s="169"/>
      <c r="AC329" s="169"/>
    </row>
    <row r="330" spans="1:29" s="12" customFormat="1" hidden="1" x14ac:dyDescent="0.3">
      <c r="A330" s="169"/>
      <c r="B330" s="169"/>
      <c r="C330" s="169"/>
      <c r="D330" s="169"/>
      <c r="E330" s="169"/>
      <c r="F330" s="169"/>
      <c r="G330" s="169"/>
      <c r="H330" s="169"/>
      <c r="I330" s="169"/>
      <c r="J330" s="169"/>
      <c r="K330" s="169"/>
      <c r="L330" s="169"/>
      <c r="M330" s="169"/>
      <c r="N330" s="169"/>
      <c r="O330" s="169"/>
      <c r="P330" s="169"/>
      <c r="Q330" s="169"/>
      <c r="R330" s="169"/>
      <c r="S330" s="169"/>
      <c r="T330" s="169"/>
      <c r="U330" s="169"/>
      <c r="V330" s="169"/>
      <c r="W330" s="169"/>
      <c r="X330" s="169"/>
      <c r="Y330" s="169"/>
      <c r="Z330" s="169"/>
      <c r="AA330" s="169"/>
      <c r="AB330" s="169"/>
      <c r="AC330" s="169"/>
    </row>
    <row r="331" spans="1:29" s="12" customFormat="1" hidden="1" x14ac:dyDescent="0.3">
      <c r="A331" s="169"/>
      <c r="B331" s="169"/>
      <c r="C331" s="169"/>
      <c r="D331" s="169"/>
      <c r="E331" s="169"/>
      <c r="F331" s="169"/>
      <c r="G331" s="169"/>
      <c r="H331" s="169"/>
      <c r="I331" s="169"/>
      <c r="J331" s="169"/>
      <c r="K331" s="169"/>
      <c r="L331" s="169"/>
      <c r="M331" s="169"/>
      <c r="N331" s="169"/>
      <c r="O331" s="169"/>
      <c r="P331" s="169"/>
      <c r="Q331" s="169"/>
      <c r="R331" s="169"/>
      <c r="S331" s="169"/>
      <c r="T331" s="169"/>
      <c r="U331" s="169"/>
      <c r="V331" s="169"/>
      <c r="W331" s="169"/>
      <c r="X331" s="169"/>
      <c r="Y331" s="169"/>
      <c r="Z331" s="169"/>
      <c r="AA331" s="169"/>
      <c r="AB331" s="169"/>
      <c r="AC331" s="169"/>
    </row>
    <row r="332" spans="1:29" s="12" customFormat="1" hidden="1" x14ac:dyDescent="0.3">
      <c r="A332" s="169"/>
      <c r="B332" s="169"/>
      <c r="C332" s="169"/>
      <c r="D332" s="169"/>
      <c r="E332" s="169"/>
      <c r="F332" s="169"/>
      <c r="G332" s="169"/>
      <c r="H332" s="169"/>
      <c r="I332" s="169"/>
      <c r="J332" s="169"/>
      <c r="K332" s="169"/>
      <c r="L332" s="169"/>
      <c r="M332" s="169"/>
      <c r="N332" s="169"/>
      <c r="O332" s="169"/>
      <c r="P332" s="169"/>
      <c r="Q332" s="169"/>
      <c r="R332" s="169"/>
      <c r="S332" s="169"/>
      <c r="T332" s="169"/>
      <c r="U332" s="169"/>
      <c r="V332" s="169"/>
      <c r="W332" s="169"/>
      <c r="X332" s="169"/>
      <c r="Y332" s="169"/>
      <c r="Z332" s="169"/>
      <c r="AA332" s="169"/>
      <c r="AB332" s="169"/>
      <c r="AC332" s="169"/>
    </row>
    <row r="333" spans="1:29" s="12" customFormat="1" hidden="1" x14ac:dyDescent="0.3">
      <c r="A333" s="169"/>
      <c r="B333" s="169"/>
      <c r="C333" s="169"/>
      <c r="D333" s="169"/>
      <c r="E333" s="169"/>
      <c r="F333" s="169"/>
      <c r="G333" s="169"/>
      <c r="H333" s="169"/>
      <c r="I333" s="169"/>
      <c r="J333" s="169"/>
      <c r="K333" s="169"/>
      <c r="L333" s="169"/>
      <c r="M333" s="169"/>
      <c r="N333" s="169"/>
      <c r="O333" s="169"/>
      <c r="P333" s="169"/>
      <c r="Q333" s="169"/>
      <c r="R333" s="169"/>
      <c r="S333" s="169"/>
      <c r="T333" s="169"/>
      <c r="U333" s="169"/>
      <c r="V333" s="169"/>
      <c r="W333" s="169"/>
      <c r="X333" s="169"/>
      <c r="Y333" s="169"/>
      <c r="Z333" s="169"/>
      <c r="AA333" s="169"/>
      <c r="AB333" s="169"/>
      <c r="AC333" s="169"/>
    </row>
    <row r="334" spans="1:29" s="12" customFormat="1" hidden="1" x14ac:dyDescent="0.3">
      <c r="A334" s="169"/>
      <c r="B334" s="169"/>
      <c r="C334" s="169"/>
      <c r="D334" s="169"/>
      <c r="E334" s="169"/>
      <c r="F334" s="169"/>
      <c r="G334" s="169"/>
      <c r="H334" s="169"/>
      <c r="I334" s="169"/>
      <c r="J334" s="169"/>
      <c r="K334" s="169"/>
      <c r="L334" s="169"/>
      <c r="M334" s="169"/>
      <c r="N334" s="169"/>
      <c r="O334" s="169"/>
      <c r="P334" s="169"/>
      <c r="Q334" s="169"/>
      <c r="R334" s="169"/>
      <c r="S334" s="169"/>
      <c r="T334" s="169"/>
      <c r="U334" s="169"/>
      <c r="V334" s="169"/>
      <c r="W334" s="169"/>
      <c r="X334" s="169"/>
      <c r="Y334" s="169"/>
      <c r="Z334" s="169"/>
      <c r="AA334" s="169"/>
      <c r="AB334" s="169"/>
      <c r="AC334" s="169"/>
    </row>
    <row r="335" spans="1:29" s="12" customFormat="1" hidden="1" x14ac:dyDescent="0.3">
      <c r="A335" s="169"/>
      <c r="B335" s="169"/>
      <c r="C335" s="169"/>
      <c r="D335" s="169"/>
      <c r="E335" s="169"/>
      <c r="F335" s="169"/>
      <c r="G335" s="169"/>
      <c r="H335" s="169"/>
      <c r="I335" s="169"/>
      <c r="J335" s="169"/>
      <c r="K335" s="169"/>
      <c r="L335" s="169"/>
      <c r="M335" s="169"/>
      <c r="N335" s="169"/>
      <c r="O335" s="169"/>
      <c r="P335" s="169"/>
      <c r="Q335" s="169"/>
      <c r="R335" s="169"/>
      <c r="S335" s="169"/>
      <c r="T335" s="169"/>
      <c r="U335" s="169"/>
      <c r="V335" s="169"/>
      <c r="W335" s="169"/>
      <c r="X335" s="169"/>
      <c r="Y335" s="169"/>
      <c r="Z335" s="169"/>
      <c r="AA335" s="169"/>
      <c r="AB335" s="169"/>
      <c r="AC335" s="169"/>
    </row>
    <row r="336" spans="1:29" s="12" customFormat="1" hidden="1" x14ac:dyDescent="0.3">
      <c r="A336" s="169"/>
      <c r="B336" s="169"/>
      <c r="C336" s="169"/>
      <c r="D336" s="169"/>
      <c r="E336" s="169"/>
      <c r="F336" s="169"/>
      <c r="G336" s="169"/>
      <c r="H336" s="169"/>
      <c r="I336" s="169"/>
      <c r="J336" s="169"/>
      <c r="K336" s="169"/>
      <c r="L336" s="169"/>
      <c r="M336" s="169"/>
      <c r="N336" s="169"/>
      <c r="O336" s="169"/>
      <c r="P336" s="169"/>
      <c r="Q336" s="169"/>
      <c r="R336" s="169"/>
      <c r="S336" s="169"/>
      <c r="T336" s="169"/>
      <c r="U336" s="169"/>
      <c r="V336" s="169"/>
      <c r="W336" s="169"/>
      <c r="X336" s="169"/>
      <c r="Y336" s="169"/>
      <c r="Z336" s="169"/>
      <c r="AA336" s="169"/>
      <c r="AB336" s="169"/>
      <c r="AC336" s="169"/>
    </row>
    <row r="337" spans="1:29" s="12" customFormat="1" hidden="1" x14ac:dyDescent="0.3">
      <c r="A337" s="169"/>
      <c r="B337" s="169"/>
      <c r="C337" s="169"/>
      <c r="D337" s="169"/>
      <c r="E337" s="169"/>
      <c r="F337" s="169"/>
      <c r="G337" s="169"/>
      <c r="H337" s="169"/>
      <c r="I337" s="169"/>
      <c r="J337" s="169"/>
      <c r="K337" s="169"/>
      <c r="L337" s="169"/>
      <c r="M337" s="169"/>
      <c r="N337" s="169"/>
      <c r="O337" s="169"/>
      <c r="P337" s="169"/>
      <c r="Q337" s="169"/>
      <c r="R337" s="169"/>
      <c r="S337" s="169"/>
      <c r="T337" s="169"/>
      <c r="U337" s="169"/>
      <c r="V337" s="169"/>
      <c r="W337" s="169"/>
      <c r="X337" s="169"/>
      <c r="Y337" s="169"/>
      <c r="Z337" s="169"/>
      <c r="AA337" s="169"/>
      <c r="AB337" s="169"/>
      <c r="AC337" s="169"/>
    </row>
    <row r="338" spans="1:29" s="12" customFormat="1" hidden="1" x14ac:dyDescent="0.3">
      <c r="A338" s="169"/>
      <c r="B338" s="169"/>
      <c r="C338" s="169"/>
      <c r="D338" s="169"/>
      <c r="E338" s="169"/>
      <c r="F338" s="169"/>
      <c r="G338" s="169"/>
      <c r="H338" s="169"/>
      <c r="I338" s="169"/>
      <c r="J338" s="169"/>
      <c r="K338" s="169"/>
      <c r="L338" s="169"/>
      <c r="M338" s="169"/>
      <c r="N338" s="169"/>
      <c r="O338" s="169"/>
      <c r="P338" s="169"/>
      <c r="Q338" s="169"/>
      <c r="R338" s="169"/>
      <c r="S338" s="169"/>
      <c r="T338" s="169"/>
      <c r="U338" s="169"/>
      <c r="V338" s="169"/>
      <c r="W338" s="169"/>
      <c r="X338" s="169"/>
      <c r="Y338" s="169"/>
      <c r="Z338" s="169"/>
      <c r="AA338" s="169"/>
      <c r="AB338" s="169"/>
      <c r="AC338" s="169"/>
    </row>
    <row r="339" spans="1:29" s="12" customFormat="1" hidden="1" x14ac:dyDescent="0.3">
      <c r="A339" s="169"/>
      <c r="B339" s="169"/>
      <c r="C339" s="169"/>
      <c r="D339" s="169"/>
      <c r="E339" s="169"/>
      <c r="F339" s="169"/>
      <c r="G339" s="169"/>
      <c r="H339" s="169"/>
      <c r="I339" s="169"/>
      <c r="J339" s="169"/>
      <c r="K339" s="169"/>
      <c r="L339" s="169"/>
      <c r="M339" s="169"/>
      <c r="N339" s="169"/>
      <c r="O339" s="169"/>
      <c r="P339" s="169"/>
      <c r="Q339" s="169"/>
      <c r="R339" s="169"/>
      <c r="S339" s="169"/>
      <c r="T339" s="169"/>
      <c r="U339" s="169"/>
      <c r="V339" s="169"/>
      <c r="W339" s="169"/>
      <c r="X339" s="169"/>
      <c r="Y339" s="169"/>
      <c r="Z339" s="169"/>
      <c r="AA339" s="169"/>
      <c r="AB339" s="169"/>
      <c r="AC339" s="169"/>
    </row>
    <row r="340" spans="1:29" s="12" customFormat="1" hidden="1" x14ac:dyDescent="0.3">
      <c r="A340" s="169"/>
      <c r="B340" s="169"/>
      <c r="C340" s="169"/>
      <c r="D340" s="169"/>
      <c r="E340" s="169"/>
      <c r="F340" s="169"/>
      <c r="G340" s="169"/>
      <c r="H340" s="169"/>
      <c r="I340" s="169"/>
      <c r="J340" s="169"/>
      <c r="K340" s="169"/>
      <c r="L340" s="169"/>
      <c r="M340" s="169"/>
      <c r="N340" s="169"/>
      <c r="O340" s="169"/>
      <c r="P340" s="169"/>
      <c r="Q340" s="169"/>
      <c r="R340" s="169"/>
      <c r="S340" s="169"/>
      <c r="T340" s="169"/>
      <c r="U340" s="169"/>
      <c r="V340" s="169"/>
      <c r="W340" s="169"/>
      <c r="X340" s="169"/>
      <c r="Y340" s="169"/>
      <c r="Z340" s="169"/>
      <c r="AA340" s="169"/>
      <c r="AB340" s="169"/>
      <c r="AC340" s="169"/>
    </row>
    <row r="341" spans="1:29" s="12" customFormat="1" hidden="1" x14ac:dyDescent="0.3">
      <c r="A341" s="169"/>
      <c r="B341" s="169"/>
      <c r="C341" s="169"/>
      <c r="D341" s="169"/>
      <c r="E341" s="169"/>
      <c r="F341" s="169"/>
      <c r="G341" s="169"/>
      <c r="H341" s="169"/>
      <c r="I341" s="169"/>
      <c r="J341" s="169"/>
      <c r="K341" s="169"/>
      <c r="L341" s="169"/>
      <c r="M341" s="169"/>
      <c r="N341" s="169"/>
      <c r="O341" s="169"/>
      <c r="P341" s="169"/>
      <c r="Q341" s="169"/>
      <c r="R341" s="169"/>
      <c r="S341" s="169"/>
      <c r="T341" s="169"/>
      <c r="U341" s="169"/>
      <c r="V341" s="169"/>
      <c r="W341" s="169"/>
      <c r="X341" s="169"/>
      <c r="Y341" s="169"/>
      <c r="Z341" s="169"/>
      <c r="AA341" s="169"/>
      <c r="AB341" s="169"/>
      <c r="AC341" s="169"/>
    </row>
    <row r="342" spans="1:29" s="12" customFormat="1" hidden="1" x14ac:dyDescent="0.3">
      <c r="A342" s="169"/>
      <c r="B342" s="169"/>
      <c r="C342" s="169"/>
      <c r="D342" s="169"/>
      <c r="E342" s="169"/>
      <c r="F342" s="169"/>
      <c r="G342" s="169"/>
      <c r="H342" s="169"/>
      <c r="I342" s="169"/>
      <c r="J342" s="169"/>
      <c r="K342" s="169"/>
      <c r="L342" s="169"/>
      <c r="M342" s="169"/>
      <c r="N342" s="169"/>
      <c r="O342" s="169"/>
      <c r="P342" s="169"/>
      <c r="Q342" s="169"/>
      <c r="R342" s="169"/>
      <c r="S342" s="169"/>
      <c r="T342" s="169"/>
      <c r="U342" s="169"/>
      <c r="V342" s="169"/>
      <c r="W342" s="169"/>
      <c r="X342" s="169"/>
      <c r="Y342" s="169"/>
      <c r="Z342" s="169"/>
      <c r="AA342" s="169"/>
      <c r="AB342" s="169"/>
      <c r="AC342" s="169"/>
    </row>
    <row r="343" spans="1:29" s="12" customFormat="1" hidden="1" x14ac:dyDescent="0.3">
      <c r="A343" s="169"/>
      <c r="B343" s="169"/>
      <c r="C343" s="169"/>
      <c r="D343" s="169"/>
      <c r="E343" s="169"/>
      <c r="F343" s="169"/>
      <c r="G343" s="169"/>
      <c r="H343" s="169"/>
      <c r="I343" s="169"/>
      <c r="J343" s="169"/>
      <c r="K343" s="169"/>
      <c r="L343" s="169"/>
      <c r="M343" s="169"/>
      <c r="N343" s="169"/>
      <c r="O343" s="169"/>
      <c r="P343" s="169"/>
      <c r="Q343" s="169"/>
      <c r="R343" s="169"/>
      <c r="S343" s="169"/>
      <c r="T343" s="169"/>
      <c r="U343" s="169"/>
      <c r="V343" s="169"/>
      <c r="W343" s="169"/>
      <c r="X343" s="169"/>
      <c r="Y343" s="169"/>
      <c r="Z343" s="169"/>
      <c r="AA343" s="169"/>
      <c r="AB343" s="169"/>
      <c r="AC343" s="169"/>
    </row>
    <row r="344" spans="1:29" s="12" customFormat="1" hidden="1" x14ac:dyDescent="0.3">
      <c r="A344" s="169"/>
      <c r="B344" s="169"/>
      <c r="C344" s="169"/>
      <c r="D344" s="169"/>
      <c r="E344" s="169"/>
      <c r="F344" s="169"/>
      <c r="G344" s="169"/>
      <c r="H344" s="169"/>
      <c r="I344" s="169"/>
      <c r="J344" s="169"/>
      <c r="K344" s="169"/>
      <c r="L344" s="169"/>
      <c r="M344" s="169"/>
      <c r="N344" s="169"/>
      <c r="O344" s="169"/>
      <c r="P344" s="169"/>
      <c r="Q344" s="169"/>
      <c r="R344" s="169"/>
      <c r="S344" s="169"/>
      <c r="T344" s="169"/>
      <c r="U344" s="169"/>
      <c r="V344" s="169"/>
      <c r="W344" s="169"/>
      <c r="X344" s="169"/>
      <c r="Y344" s="169"/>
      <c r="Z344" s="169"/>
      <c r="AA344" s="169"/>
      <c r="AB344" s="169"/>
      <c r="AC344" s="169"/>
    </row>
    <row r="345" spans="1:29" s="12" customFormat="1" hidden="1" x14ac:dyDescent="0.3">
      <c r="A345" s="169"/>
      <c r="B345" s="169"/>
      <c r="C345" s="169"/>
      <c r="D345" s="169"/>
      <c r="E345" s="169"/>
      <c r="F345" s="169"/>
      <c r="G345" s="169"/>
      <c r="H345" s="169"/>
      <c r="I345" s="169"/>
      <c r="J345" s="169"/>
      <c r="K345" s="169"/>
      <c r="L345" s="169"/>
      <c r="M345" s="169"/>
      <c r="N345" s="169"/>
      <c r="O345" s="169"/>
      <c r="P345" s="169"/>
      <c r="Q345" s="169"/>
      <c r="R345" s="169"/>
      <c r="S345" s="169"/>
      <c r="T345" s="169"/>
      <c r="U345" s="169"/>
      <c r="V345" s="169"/>
      <c r="W345" s="169"/>
      <c r="X345" s="169"/>
      <c r="Y345" s="169"/>
      <c r="Z345" s="169"/>
      <c r="AA345" s="169"/>
      <c r="AB345" s="169"/>
      <c r="AC345" s="169"/>
    </row>
    <row r="346" spans="1:29" s="12" customFormat="1" hidden="1" x14ac:dyDescent="0.3">
      <c r="A346" s="169"/>
      <c r="B346" s="169"/>
      <c r="C346" s="169"/>
      <c r="D346" s="169"/>
      <c r="E346" s="169"/>
      <c r="F346" s="169"/>
      <c r="G346" s="169"/>
      <c r="H346" s="169"/>
      <c r="I346" s="169"/>
      <c r="J346" s="169"/>
      <c r="K346" s="169"/>
      <c r="L346" s="169"/>
      <c r="M346" s="169"/>
      <c r="N346" s="169"/>
      <c r="O346" s="169"/>
      <c r="P346" s="169"/>
      <c r="Q346" s="169"/>
      <c r="R346" s="169"/>
      <c r="S346" s="169"/>
      <c r="T346" s="169"/>
      <c r="U346" s="169"/>
      <c r="V346" s="169"/>
      <c r="W346" s="169"/>
      <c r="X346" s="169"/>
      <c r="Y346" s="169"/>
      <c r="Z346" s="169"/>
      <c r="AA346" s="169"/>
      <c r="AB346" s="169"/>
      <c r="AC346" s="169"/>
    </row>
    <row r="347" spans="1:29" s="12" customFormat="1" hidden="1" x14ac:dyDescent="0.3">
      <c r="A347" s="169"/>
      <c r="B347" s="169"/>
      <c r="C347" s="169"/>
      <c r="D347" s="169"/>
      <c r="E347" s="169"/>
      <c r="F347" s="169"/>
      <c r="G347" s="169"/>
      <c r="H347" s="169"/>
      <c r="I347" s="169"/>
      <c r="J347" s="169"/>
      <c r="K347" s="169"/>
      <c r="L347" s="169"/>
      <c r="M347" s="169"/>
      <c r="N347" s="169"/>
      <c r="O347" s="169"/>
      <c r="P347" s="169"/>
      <c r="Q347" s="169"/>
      <c r="R347" s="169"/>
      <c r="S347" s="169"/>
      <c r="T347" s="169"/>
      <c r="U347" s="169"/>
      <c r="V347" s="169"/>
      <c r="W347" s="169"/>
      <c r="X347" s="169"/>
      <c r="Y347" s="169"/>
      <c r="Z347" s="169"/>
      <c r="AA347" s="169"/>
      <c r="AB347" s="169"/>
      <c r="AC347" s="169"/>
    </row>
    <row r="348" spans="1:29" s="12" customFormat="1" hidden="1" x14ac:dyDescent="0.3">
      <c r="A348" s="169"/>
      <c r="B348" s="169"/>
      <c r="C348" s="169"/>
      <c r="D348" s="169"/>
      <c r="E348" s="169"/>
      <c r="F348" s="169"/>
      <c r="G348" s="169"/>
      <c r="H348" s="169"/>
      <c r="I348" s="169"/>
      <c r="J348" s="169"/>
      <c r="K348" s="169"/>
      <c r="L348" s="169"/>
      <c r="M348" s="169"/>
      <c r="N348" s="169"/>
      <c r="O348" s="169"/>
      <c r="P348" s="169"/>
      <c r="Q348" s="169"/>
      <c r="R348" s="169"/>
      <c r="S348" s="169"/>
      <c r="T348" s="169"/>
      <c r="U348" s="169"/>
      <c r="V348" s="169"/>
      <c r="W348" s="169"/>
      <c r="X348" s="169"/>
      <c r="Y348" s="169"/>
      <c r="Z348" s="169"/>
      <c r="AA348" s="169"/>
      <c r="AB348" s="169"/>
      <c r="AC348" s="169"/>
    </row>
    <row r="349" spans="1:29" s="12" customFormat="1" hidden="1" x14ac:dyDescent="0.3">
      <c r="A349" s="169"/>
      <c r="B349" s="169"/>
      <c r="C349" s="169"/>
      <c r="D349" s="169"/>
      <c r="E349" s="169"/>
      <c r="F349" s="169"/>
      <c r="G349" s="169"/>
      <c r="H349" s="169"/>
      <c r="I349" s="169"/>
      <c r="J349" s="169"/>
      <c r="K349" s="169"/>
      <c r="L349" s="169"/>
      <c r="M349" s="169"/>
      <c r="N349" s="169"/>
      <c r="O349" s="169"/>
      <c r="P349" s="169"/>
      <c r="Q349" s="169"/>
      <c r="R349" s="169"/>
      <c r="S349" s="169"/>
      <c r="T349" s="169"/>
      <c r="U349" s="169"/>
      <c r="V349" s="169"/>
      <c r="W349" s="169"/>
      <c r="X349" s="169"/>
      <c r="Y349" s="169"/>
      <c r="Z349" s="169"/>
      <c r="AA349" s="169"/>
      <c r="AB349" s="169"/>
      <c r="AC349" s="169"/>
    </row>
    <row r="350" spans="1:29" s="12" customFormat="1" hidden="1" x14ac:dyDescent="0.3">
      <c r="A350" s="169"/>
      <c r="B350" s="169"/>
      <c r="C350" s="169"/>
      <c r="D350" s="169"/>
      <c r="E350" s="169"/>
      <c r="F350" s="169"/>
      <c r="G350" s="169"/>
      <c r="H350" s="169"/>
      <c r="I350" s="169"/>
      <c r="J350" s="169"/>
      <c r="K350" s="169"/>
      <c r="L350" s="169"/>
      <c r="M350" s="169"/>
      <c r="N350" s="169"/>
      <c r="O350" s="169"/>
      <c r="P350" s="169"/>
      <c r="Q350" s="169"/>
      <c r="R350" s="169"/>
      <c r="S350" s="169"/>
      <c r="T350" s="169"/>
      <c r="U350" s="169"/>
      <c r="V350" s="169"/>
      <c r="W350" s="169"/>
      <c r="X350" s="169"/>
      <c r="Y350" s="169"/>
      <c r="Z350" s="169"/>
      <c r="AA350" s="169"/>
      <c r="AB350" s="169"/>
      <c r="AC350" s="169"/>
    </row>
    <row r="351" spans="1:29" s="12" customFormat="1" hidden="1" x14ac:dyDescent="0.3">
      <c r="A351" s="169"/>
      <c r="B351" s="169"/>
      <c r="C351" s="169"/>
      <c r="D351" s="169"/>
      <c r="E351" s="169"/>
      <c r="F351" s="169"/>
      <c r="G351" s="169"/>
      <c r="H351" s="169"/>
      <c r="I351" s="169"/>
      <c r="J351" s="169"/>
      <c r="K351" s="169"/>
      <c r="L351" s="169"/>
      <c r="M351" s="169"/>
      <c r="N351" s="169"/>
      <c r="O351" s="169"/>
      <c r="P351" s="169"/>
      <c r="Q351" s="169"/>
      <c r="R351" s="169"/>
      <c r="S351" s="169"/>
      <c r="T351" s="169"/>
      <c r="U351" s="169"/>
      <c r="V351" s="169"/>
      <c r="W351" s="169"/>
      <c r="X351" s="169"/>
      <c r="Y351" s="169"/>
      <c r="Z351" s="169"/>
      <c r="AA351" s="169"/>
      <c r="AB351" s="169"/>
      <c r="AC351" s="169"/>
    </row>
    <row r="352" spans="1:29" s="12" customFormat="1" hidden="1" x14ac:dyDescent="0.3">
      <c r="A352" s="169"/>
      <c r="B352" s="169"/>
      <c r="C352" s="169"/>
      <c r="D352" s="169"/>
      <c r="E352" s="169"/>
      <c r="F352" s="169"/>
      <c r="G352" s="169"/>
      <c r="H352" s="169"/>
      <c r="I352" s="169"/>
      <c r="J352" s="169"/>
      <c r="K352" s="169"/>
      <c r="L352" s="169"/>
      <c r="M352" s="169"/>
      <c r="N352" s="169"/>
      <c r="O352" s="169"/>
      <c r="P352" s="169"/>
      <c r="Q352" s="169"/>
      <c r="R352" s="169"/>
      <c r="S352" s="169"/>
      <c r="T352" s="169"/>
      <c r="U352" s="169"/>
      <c r="V352" s="169"/>
      <c r="W352" s="169"/>
      <c r="X352" s="169"/>
      <c r="Y352" s="169"/>
      <c r="Z352" s="169"/>
      <c r="AA352" s="169"/>
      <c r="AB352" s="169"/>
      <c r="AC352" s="169"/>
    </row>
    <row r="353" spans="1:29" s="12" customFormat="1" hidden="1" x14ac:dyDescent="0.3">
      <c r="A353" s="169"/>
      <c r="B353" s="169"/>
      <c r="C353" s="169"/>
      <c r="D353" s="169"/>
      <c r="E353" s="169"/>
      <c r="F353" s="169"/>
      <c r="G353" s="169"/>
      <c r="H353" s="169"/>
      <c r="I353" s="169"/>
      <c r="J353" s="169"/>
      <c r="K353" s="169"/>
      <c r="L353" s="169"/>
      <c r="M353" s="169"/>
      <c r="N353" s="169"/>
      <c r="O353" s="169"/>
      <c r="P353" s="169"/>
      <c r="Q353" s="169"/>
      <c r="R353" s="169"/>
      <c r="S353" s="169"/>
      <c r="T353" s="169"/>
      <c r="U353" s="169"/>
      <c r="V353" s="169"/>
      <c r="W353" s="169"/>
      <c r="X353" s="169"/>
      <c r="Y353" s="169"/>
      <c r="Z353" s="169"/>
      <c r="AA353" s="169"/>
      <c r="AB353" s="169"/>
      <c r="AC353" s="169"/>
    </row>
    <row r="354" spans="1:29" s="12" customFormat="1" hidden="1" x14ac:dyDescent="0.3">
      <c r="A354" s="169"/>
      <c r="B354" s="169"/>
      <c r="C354" s="169"/>
      <c r="D354" s="169"/>
      <c r="E354" s="169"/>
      <c r="F354" s="169"/>
      <c r="G354" s="169"/>
      <c r="H354" s="169"/>
      <c r="I354" s="169"/>
      <c r="J354" s="169"/>
      <c r="K354" s="169"/>
      <c r="L354" s="169"/>
      <c r="M354" s="169"/>
      <c r="N354" s="169"/>
      <c r="O354" s="169"/>
      <c r="P354" s="169"/>
      <c r="Q354" s="169"/>
      <c r="R354" s="169"/>
      <c r="S354" s="169"/>
      <c r="T354" s="169"/>
      <c r="U354" s="169"/>
      <c r="V354" s="169"/>
      <c r="W354" s="169"/>
      <c r="X354" s="169"/>
      <c r="Y354" s="169"/>
      <c r="Z354" s="169"/>
      <c r="AA354" s="169"/>
      <c r="AB354" s="169"/>
      <c r="AC354" s="169"/>
    </row>
    <row r="355" spans="1:29" s="12" customFormat="1" hidden="1" x14ac:dyDescent="0.3">
      <c r="A355" s="169"/>
      <c r="B355" s="169"/>
      <c r="C355" s="169"/>
      <c r="D355" s="169"/>
      <c r="E355" s="169"/>
      <c r="F355" s="169"/>
      <c r="G355" s="169"/>
      <c r="H355" s="169"/>
      <c r="I355" s="169"/>
      <c r="J355" s="169"/>
      <c r="K355" s="169"/>
      <c r="L355" s="169"/>
      <c r="M355" s="169"/>
      <c r="N355" s="169"/>
      <c r="O355" s="169"/>
      <c r="P355" s="169"/>
      <c r="Q355" s="169"/>
      <c r="R355" s="169"/>
      <c r="S355" s="169"/>
      <c r="T355" s="169"/>
      <c r="U355" s="169"/>
      <c r="V355" s="169"/>
      <c r="W355" s="169"/>
      <c r="X355" s="169"/>
      <c r="Y355" s="169"/>
      <c r="Z355" s="169"/>
      <c r="AA355" s="169"/>
      <c r="AB355" s="169"/>
      <c r="AC355" s="169"/>
    </row>
    <row r="356" spans="1:29" s="12" customFormat="1" hidden="1" x14ac:dyDescent="0.3">
      <c r="A356" s="169"/>
      <c r="B356" s="169"/>
      <c r="C356" s="169"/>
      <c r="D356" s="169"/>
      <c r="E356" s="169"/>
      <c r="F356" s="169"/>
      <c r="G356" s="169"/>
      <c r="H356" s="169"/>
      <c r="I356" s="169"/>
      <c r="J356" s="169"/>
      <c r="K356" s="169"/>
      <c r="L356" s="169"/>
      <c r="M356" s="169"/>
      <c r="N356" s="169"/>
      <c r="O356" s="169"/>
      <c r="P356" s="169"/>
      <c r="Q356" s="169"/>
      <c r="R356" s="169"/>
      <c r="S356" s="169"/>
      <c r="T356" s="169"/>
      <c r="U356" s="169"/>
      <c r="V356" s="169"/>
      <c r="W356" s="169"/>
      <c r="X356" s="169"/>
      <c r="Y356" s="169"/>
      <c r="Z356" s="169"/>
      <c r="AA356" s="169"/>
      <c r="AB356" s="169"/>
      <c r="AC356" s="169"/>
    </row>
    <row r="357" spans="1:29" s="12" customFormat="1" hidden="1" x14ac:dyDescent="0.3">
      <c r="A357" s="169"/>
      <c r="B357" s="169"/>
      <c r="C357" s="169"/>
      <c r="D357" s="169"/>
      <c r="E357" s="169"/>
      <c r="F357" s="169"/>
      <c r="G357" s="169"/>
      <c r="H357" s="169"/>
      <c r="I357" s="169"/>
      <c r="J357" s="169"/>
      <c r="K357" s="169"/>
      <c r="L357" s="169"/>
      <c r="M357" s="169"/>
      <c r="N357" s="169"/>
      <c r="O357" s="169"/>
      <c r="P357" s="169"/>
      <c r="Q357" s="169"/>
      <c r="R357" s="169"/>
      <c r="S357" s="169"/>
      <c r="T357" s="169"/>
      <c r="U357" s="169"/>
      <c r="V357" s="169"/>
      <c r="W357" s="169"/>
      <c r="X357" s="169"/>
      <c r="Y357" s="169"/>
      <c r="Z357" s="169"/>
      <c r="AA357" s="169"/>
      <c r="AB357" s="169"/>
      <c r="AC357" s="169"/>
    </row>
    <row r="358" spans="1:29" s="12" customFormat="1" hidden="1" x14ac:dyDescent="0.3">
      <c r="A358" s="169"/>
      <c r="B358" s="169"/>
      <c r="C358" s="169"/>
      <c r="D358" s="169"/>
      <c r="E358" s="169"/>
      <c r="F358" s="169"/>
      <c r="G358" s="169"/>
      <c r="H358" s="169"/>
      <c r="I358" s="169"/>
      <c r="J358" s="169"/>
      <c r="K358" s="169"/>
      <c r="L358" s="169"/>
      <c r="M358" s="169"/>
      <c r="N358" s="169"/>
      <c r="O358" s="169"/>
      <c r="P358" s="169"/>
      <c r="Q358" s="169"/>
      <c r="R358" s="169"/>
      <c r="S358" s="169"/>
      <c r="T358" s="169"/>
      <c r="U358" s="169"/>
      <c r="V358" s="169"/>
      <c r="W358" s="169"/>
      <c r="X358" s="169"/>
      <c r="Y358" s="169"/>
      <c r="Z358" s="169"/>
      <c r="AA358" s="169"/>
      <c r="AB358" s="169"/>
      <c r="AC358" s="169"/>
    </row>
    <row r="359" spans="1:29" s="12" customFormat="1" hidden="1" x14ac:dyDescent="0.3">
      <c r="A359" s="169"/>
      <c r="B359" s="169"/>
      <c r="C359" s="169"/>
      <c r="D359" s="169"/>
      <c r="E359" s="169"/>
      <c r="F359" s="169"/>
      <c r="G359" s="169"/>
      <c r="H359" s="169"/>
      <c r="I359" s="169"/>
      <c r="J359" s="169"/>
      <c r="K359" s="169"/>
      <c r="L359" s="169"/>
      <c r="M359" s="169"/>
      <c r="N359" s="169"/>
      <c r="O359" s="169"/>
      <c r="P359" s="169"/>
      <c r="Q359" s="169"/>
      <c r="R359" s="169"/>
      <c r="S359" s="169"/>
      <c r="T359" s="169"/>
      <c r="U359" s="169"/>
      <c r="V359" s="169"/>
      <c r="W359" s="169"/>
      <c r="X359" s="169"/>
      <c r="Y359" s="169"/>
      <c r="Z359" s="169"/>
      <c r="AA359" s="169"/>
      <c r="AB359" s="169"/>
      <c r="AC359" s="169"/>
    </row>
    <row r="360" spans="1:29" s="12" customFormat="1" hidden="1" x14ac:dyDescent="0.3">
      <c r="A360" s="169"/>
      <c r="B360" s="169"/>
      <c r="C360" s="169"/>
      <c r="D360" s="169"/>
      <c r="E360" s="169"/>
      <c r="F360" s="169"/>
      <c r="G360" s="169"/>
      <c r="H360" s="169"/>
      <c r="I360" s="169"/>
      <c r="J360" s="169"/>
      <c r="K360" s="169"/>
      <c r="L360" s="169"/>
      <c r="M360" s="169"/>
      <c r="N360" s="169"/>
      <c r="O360" s="169"/>
      <c r="P360" s="169"/>
      <c r="Q360" s="169"/>
      <c r="R360" s="169"/>
      <c r="S360" s="169"/>
      <c r="T360" s="169"/>
      <c r="U360" s="169"/>
      <c r="V360" s="169"/>
      <c r="W360" s="169"/>
      <c r="X360" s="169"/>
      <c r="Y360" s="169"/>
      <c r="Z360" s="169"/>
      <c r="AA360" s="169"/>
      <c r="AB360" s="169"/>
      <c r="AC360" s="169"/>
    </row>
    <row r="361" spans="1:29" s="12" customFormat="1" hidden="1" x14ac:dyDescent="0.3">
      <c r="A361" s="169"/>
      <c r="B361" s="169"/>
      <c r="C361" s="169"/>
      <c r="D361" s="169"/>
      <c r="E361" s="169"/>
      <c r="F361" s="169"/>
      <c r="G361" s="169"/>
      <c r="H361" s="169"/>
      <c r="I361" s="169"/>
      <c r="J361" s="169"/>
      <c r="K361" s="169"/>
      <c r="L361" s="169"/>
      <c r="M361" s="169"/>
      <c r="N361" s="169"/>
      <c r="O361" s="169"/>
      <c r="P361" s="169"/>
      <c r="Q361" s="169"/>
      <c r="R361" s="169"/>
      <c r="S361" s="169"/>
      <c r="T361" s="169"/>
      <c r="U361" s="169"/>
      <c r="V361" s="169"/>
      <c r="W361" s="169"/>
      <c r="X361" s="169"/>
      <c r="Y361" s="169"/>
      <c r="Z361" s="169"/>
      <c r="AA361" s="169"/>
      <c r="AB361" s="169"/>
      <c r="AC361" s="169"/>
    </row>
    <row r="362" spans="1:29" s="12" customFormat="1" hidden="1" x14ac:dyDescent="0.3">
      <c r="A362" s="169"/>
      <c r="B362" s="169"/>
      <c r="C362" s="169"/>
      <c r="D362" s="169"/>
      <c r="E362" s="169"/>
      <c r="F362" s="169"/>
      <c r="G362" s="169"/>
      <c r="H362" s="169"/>
      <c r="I362" s="169"/>
      <c r="J362" s="169"/>
      <c r="K362" s="169"/>
      <c r="L362" s="169"/>
      <c r="M362" s="169"/>
      <c r="N362" s="169"/>
      <c r="O362" s="169"/>
      <c r="P362" s="169"/>
      <c r="Q362" s="169"/>
      <c r="R362" s="169"/>
      <c r="S362" s="169"/>
      <c r="T362" s="169"/>
      <c r="U362" s="169"/>
      <c r="V362" s="169"/>
      <c r="W362" s="169"/>
      <c r="X362" s="169"/>
      <c r="Y362" s="169"/>
      <c r="Z362" s="169"/>
      <c r="AA362" s="169"/>
      <c r="AB362" s="169"/>
      <c r="AC362" s="169"/>
    </row>
    <row r="363" spans="1:29" s="12" customFormat="1" hidden="1" x14ac:dyDescent="0.3">
      <c r="A363" s="169"/>
      <c r="B363" s="169"/>
      <c r="C363" s="169"/>
      <c r="D363" s="169"/>
      <c r="E363" s="169"/>
      <c r="F363" s="169"/>
      <c r="G363" s="169"/>
      <c r="H363" s="169"/>
      <c r="I363" s="169"/>
      <c r="J363" s="169"/>
      <c r="K363" s="169"/>
      <c r="L363" s="169"/>
      <c r="M363" s="169"/>
      <c r="N363" s="169"/>
      <c r="O363" s="169"/>
      <c r="P363" s="169"/>
      <c r="Q363" s="169"/>
      <c r="R363" s="169"/>
      <c r="S363" s="169"/>
      <c r="T363" s="169"/>
      <c r="U363" s="169"/>
      <c r="V363" s="169"/>
      <c r="W363" s="169"/>
      <c r="X363" s="169"/>
      <c r="Y363" s="169"/>
      <c r="Z363" s="169"/>
      <c r="AA363" s="169"/>
      <c r="AB363" s="169"/>
      <c r="AC363" s="169"/>
    </row>
    <row r="364" spans="1:29" s="12" customFormat="1" hidden="1" x14ac:dyDescent="0.3">
      <c r="A364" s="169"/>
      <c r="B364" s="169"/>
      <c r="C364" s="169"/>
      <c r="D364" s="169"/>
      <c r="E364" s="169"/>
      <c r="F364" s="169"/>
      <c r="G364" s="169"/>
      <c r="H364" s="169"/>
      <c r="I364" s="169"/>
      <c r="J364" s="169"/>
      <c r="K364" s="169"/>
      <c r="L364" s="169"/>
      <c r="M364" s="169"/>
      <c r="N364" s="169"/>
      <c r="O364" s="169"/>
      <c r="P364" s="169"/>
      <c r="Q364" s="169"/>
      <c r="R364" s="169"/>
      <c r="S364" s="169"/>
      <c r="T364" s="169"/>
      <c r="U364" s="169"/>
      <c r="V364" s="169"/>
      <c r="W364" s="169"/>
      <c r="X364" s="169"/>
      <c r="Y364" s="169"/>
      <c r="Z364" s="169"/>
      <c r="AA364" s="169"/>
      <c r="AB364" s="169"/>
      <c r="AC364" s="169"/>
    </row>
    <row r="365" spans="1:29" s="12" customFormat="1" hidden="1" x14ac:dyDescent="0.3">
      <c r="A365" s="169"/>
      <c r="B365" s="169"/>
      <c r="C365" s="169"/>
      <c r="D365" s="169"/>
      <c r="E365" s="169"/>
      <c r="F365" s="169"/>
      <c r="G365" s="169"/>
      <c r="H365" s="169"/>
      <c r="I365" s="169"/>
      <c r="J365" s="169"/>
      <c r="K365" s="169"/>
      <c r="L365" s="169"/>
      <c r="M365" s="169"/>
      <c r="N365" s="169"/>
      <c r="O365" s="169"/>
      <c r="P365" s="169"/>
      <c r="Q365" s="169"/>
      <c r="R365" s="169"/>
      <c r="S365" s="169"/>
      <c r="T365" s="169"/>
      <c r="U365" s="169"/>
      <c r="V365" s="169"/>
      <c r="W365" s="169"/>
      <c r="X365" s="169"/>
      <c r="Y365" s="169"/>
      <c r="Z365" s="169"/>
      <c r="AA365" s="169"/>
      <c r="AB365" s="169"/>
      <c r="AC365" s="169"/>
    </row>
    <row r="366" spans="1:29" s="12" customFormat="1" hidden="1" x14ac:dyDescent="0.3">
      <c r="A366" s="169"/>
      <c r="B366" s="169"/>
      <c r="C366" s="169"/>
      <c r="D366" s="169"/>
      <c r="E366" s="169"/>
      <c r="F366" s="169"/>
      <c r="G366" s="169"/>
      <c r="H366" s="169"/>
      <c r="I366" s="169"/>
      <c r="J366" s="169"/>
      <c r="K366" s="169"/>
      <c r="L366" s="169"/>
      <c r="M366" s="169"/>
      <c r="N366" s="169"/>
      <c r="O366" s="169"/>
      <c r="P366" s="169"/>
      <c r="Q366" s="169"/>
      <c r="R366" s="169"/>
      <c r="S366" s="169"/>
      <c r="T366" s="169"/>
      <c r="U366" s="169"/>
      <c r="V366" s="169"/>
      <c r="W366" s="169"/>
      <c r="X366" s="169"/>
      <c r="Y366" s="169"/>
      <c r="Z366" s="169"/>
      <c r="AA366" s="169"/>
      <c r="AB366" s="169"/>
      <c r="AC366" s="169"/>
    </row>
    <row r="367" spans="1:29" s="12" customFormat="1" hidden="1" x14ac:dyDescent="0.3">
      <c r="A367" s="169"/>
      <c r="B367" s="169"/>
      <c r="C367" s="169"/>
      <c r="D367" s="169"/>
      <c r="E367" s="169"/>
      <c r="F367" s="169"/>
      <c r="G367" s="169"/>
      <c r="H367" s="169"/>
      <c r="I367" s="169"/>
      <c r="J367" s="169"/>
      <c r="K367" s="169"/>
      <c r="L367" s="169"/>
      <c r="M367" s="169"/>
      <c r="N367" s="169"/>
      <c r="O367" s="169"/>
      <c r="P367" s="169"/>
      <c r="Q367" s="169"/>
      <c r="R367" s="169"/>
      <c r="S367" s="169"/>
      <c r="T367" s="169"/>
      <c r="U367" s="169"/>
      <c r="V367" s="169"/>
      <c r="W367" s="169"/>
      <c r="X367" s="169"/>
      <c r="Y367" s="169"/>
      <c r="Z367" s="169"/>
      <c r="AA367" s="169"/>
      <c r="AB367" s="169"/>
      <c r="AC367" s="169"/>
    </row>
    <row r="368" spans="1:29" s="12" customFormat="1" hidden="1" x14ac:dyDescent="0.3">
      <c r="A368" s="169"/>
      <c r="B368" s="169"/>
      <c r="C368" s="169"/>
      <c r="D368" s="169"/>
      <c r="E368" s="169"/>
      <c r="F368" s="169"/>
      <c r="G368" s="169"/>
      <c r="H368" s="169"/>
      <c r="I368" s="169"/>
      <c r="J368" s="169"/>
      <c r="K368" s="169"/>
      <c r="L368" s="169"/>
      <c r="M368" s="169"/>
      <c r="N368" s="169"/>
      <c r="O368" s="169"/>
      <c r="P368" s="169"/>
      <c r="Q368" s="169"/>
      <c r="R368" s="169"/>
      <c r="S368" s="169"/>
      <c r="T368" s="169"/>
      <c r="U368" s="169"/>
      <c r="V368" s="169"/>
      <c r="W368" s="169"/>
      <c r="X368" s="169"/>
      <c r="Y368" s="169"/>
      <c r="Z368" s="169"/>
      <c r="AA368" s="169"/>
      <c r="AB368" s="169"/>
      <c r="AC368" s="169"/>
    </row>
    <row r="369" spans="1:29" s="12" customFormat="1" hidden="1" x14ac:dyDescent="0.3">
      <c r="A369" s="169"/>
      <c r="B369" s="169"/>
      <c r="C369" s="169"/>
      <c r="D369" s="169"/>
      <c r="E369" s="169"/>
      <c r="F369" s="169"/>
      <c r="G369" s="169"/>
      <c r="H369" s="169"/>
      <c r="I369" s="169"/>
      <c r="J369" s="169"/>
      <c r="K369" s="169"/>
      <c r="L369" s="169"/>
      <c r="M369" s="169"/>
      <c r="N369" s="169"/>
      <c r="O369" s="169"/>
      <c r="P369" s="169"/>
      <c r="Q369" s="169"/>
      <c r="R369" s="169"/>
      <c r="S369" s="169"/>
      <c r="T369" s="169"/>
      <c r="U369" s="169"/>
      <c r="V369" s="169"/>
      <c r="W369" s="169"/>
      <c r="X369" s="169"/>
      <c r="Y369" s="169"/>
      <c r="Z369" s="169"/>
      <c r="AA369" s="169"/>
      <c r="AB369" s="169"/>
      <c r="AC369" s="169"/>
    </row>
    <row r="370" spans="1:29" s="12" customFormat="1" hidden="1" x14ac:dyDescent="0.3">
      <c r="A370" s="169"/>
      <c r="B370" s="169"/>
      <c r="C370" s="169"/>
      <c r="D370" s="169"/>
      <c r="E370" s="169"/>
      <c r="F370" s="169"/>
      <c r="G370" s="169"/>
      <c r="H370" s="169"/>
      <c r="I370" s="169"/>
      <c r="J370" s="169"/>
      <c r="K370" s="169"/>
      <c r="L370" s="169"/>
      <c r="M370" s="169"/>
      <c r="N370" s="169"/>
      <c r="O370" s="169"/>
      <c r="P370" s="169"/>
      <c r="Q370" s="169"/>
      <c r="R370" s="169"/>
      <c r="S370" s="169"/>
      <c r="T370" s="169"/>
      <c r="U370" s="169"/>
      <c r="V370" s="169"/>
      <c r="W370" s="169"/>
      <c r="X370" s="169"/>
      <c r="Y370" s="169"/>
      <c r="Z370" s="169"/>
      <c r="AA370" s="169"/>
      <c r="AB370" s="169"/>
      <c r="AC370" s="169"/>
    </row>
    <row r="371" spans="1:29" s="12" customFormat="1" hidden="1" x14ac:dyDescent="0.3">
      <c r="A371" s="169"/>
      <c r="B371" s="169"/>
      <c r="C371" s="169"/>
      <c r="D371" s="169"/>
      <c r="E371" s="169"/>
      <c r="F371" s="169"/>
      <c r="G371" s="169"/>
      <c r="H371" s="169"/>
      <c r="I371" s="169"/>
      <c r="J371" s="169"/>
      <c r="K371" s="169"/>
      <c r="L371" s="169"/>
      <c r="M371" s="169"/>
      <c r="N371" s="169"/>
      <c r="O371" s="169"/>
      <c r="P371" s="169"/>
      <c r="Q371" s="169"/>
      <c r="R371" s="169"/>
      <c r="S371" s="169"/>
      <c r="T371" s="169"/>
      <c r="U371" s="169"/>
      <c r="V371" s="169"/>
      <c r="W371" s="169"/>
      <c r="X371" s="169"/>
      <c r="Y371" s="169"/>
      <c r="Z371" s="169"/>
      <c r="AA371" s="169"/>
      <c r="AB371" s="169"/>
      <c r="AC371" s="169"/>
    </row>
    <row r="372" spans="1:29" s="12" customFormat="1" hidden="1" x14ac:dyDescent="0.3">
      <c r="A372" s="169"/>
      <c r="B372" s="169"/>
      <c r="C372" s="169"/>
      <c r="D372" s="169"/>
      <c r="E372" s="169"/>
      <c r="F372" s="169"/>
      <c r="G372" s="169"/>
      <c r="H372" s="169"/>
      <c r="I372" s="169"/>
      <c r="J372" s="169"/>
      <c r="K372" s="169"/>
      <c r="L372" s="169"/>
      <c r="M372" s="169"/>
      <c r="N372" s="169"/>
      <c r="O372" s="169"/>
      <c r="P372" s="169"/>
      <c r="Q372" s="169"/>
      <c r="R372" s="169"/>
      <c r="S372" s="169"/>
      <c r="T372" s="169"/>
      <c r="U372" s="169"/>
      <c r="V372" s="169"/>
      <c r="W372" s="169"/>
      <c r="X372" s="169"/>
      <c r="Y372" s="169"/>
      <c r="Z372" s="169"/>
      <c r="AA372" s="169"/>
      <c r="AB372" s="169"/>
      <c r="AC372" s="169"/>
    </row>
    <row r="373" spans="1:29" s="12" customFormat="1" hidden="1" x14ac:dyDescent="0.3">
      <c r="A373" s="169"/>
      <c r="B373" s="169"/>
      <c r="C373" s="169"/>
      <c r="D373" s="169"/>
      <c r="E373" s="169"/>
      <c r="F373" s="169"/>
      <c r="G373" s="169"/>
      <c r="H373" s="169"/>
      <c r="I373" s="169"/>
      <c r="J373" s="169"/>
      <c r="K373" s="169"/>
      <c r="L373" s="169"/>
      <c r="M373" s="169"/>
      <c r="N373" s="169"/>
      <c r="O373" s="169"/>
      <c r="P373" s="169"/>
      <c r="Q373" s="169"/>
      <c r="R373" s="169"/>
      <c r="S373" s="169"/>
      <c r="T373" s="169"/>
      <c r="U373" s="169"/>
      <c r="V373" s="169"/>
      <c r="W373" s="169"/>
      <c r="X373" s="169"/>
      <c r="Y373" s="169"/>
      <c r="Z373" s="169"/>
      <c r="AA373" s="169"/>
      <c r="AB373" s="169"/>
      <c r="AC373" s="169"/>
    </row>
    <row r="374" spans="1:29" s="12" customFormat="1" hidden="1" x14ac:dyDescent="0.3">
      <c r="A374" s="169"/>
      <c r="B374" s="169"/>
      <c r="C374" s="169"/>
      <c r="D374" s="169"/>
      <c r="E374" s="169"/>
      <c r="F374" s="169"/>
      <c r="G374" s="169"/>
      <c r="H374" s="169"/>
      <c r="I374" s="169"/>
      <c r="J374" s="169"/>
      <c r="K374" s="169"/>
      <c r="L374" s="169"/>
      <c r="M374" s="169"/>
      <c r="N374" s="169"/>
      <c r="O374" s="169"/>
      <c r="P374" s="169"/>
      <c r="Q374" s="169"/>
      <c r="R374" s="169"/>
      <c r="S374" s="169"/>
      <c r="T374" s="169"/>
      <c r="U374" s="169"/>
      <c r="V374" s="169"/>
      <c r="W374" s="169"/>
      <c r="X374" s="169"/>
      <c r="Y374" s="169"/>
      <c r="Z374" s="169"/>
      <c r="AA374" s="169"/>
      <c r="AB374" s="169"/>
      <c r="AC374" s="169"/>
    </row>
    <row r="375" spans="1:29" s="12" customFormat="1" hidden="1" x14ac:dyDescent="0.3">
      <c r="A375" s="169"/>
      <c r="B375" s="169"/>
      <c r="C375" s="169"/>
      <c r="D375" s="169"/>
      <c r="E375" s="169"/>
      <c r="F375" s="169"/>
      <c r="G375" s="169"/>
      <c r="H375" s="169"/>
      <c r="I375" s="169"/>
      <c r="J375" s="169"/>
      <c r="K375" s="169"/>
      <c r="L375" s="169"/>
      <c r="M375" s="169"/>
      <c r="N375" s="169"/>
      <c r="O375" s="169"/>
      <c r="P375" s="169"/>
      <c r="Q375" s="169"/>
      <c r="R375" s="169"/>
      <c r="S375" s="169"/>
      <c r="T375" s="169"/>
      <c r="U375" s="169"/>
      <c r="V375" s="169"/>
      <c r="W375" s="169"/>
      <c r="X375" s="169"/>
      <c r="Y375" s="169"/>
      <c r="Z375" s="169"/>
      <c r="AA375" s="169"/>
      <c r="AB375" s="169"/>
      <c r="AC375" s="169"/>
    </row>
    <row r="376" spans="1:29" s="12" customFormat="1" hidden="1" x14ac:dyDescent="0.3">
      <c r="A376" s="169"/>
      <c r="B376" s="169"/>
      <c r="C376" s="169"/>
      <c r="D376" s="169"/>
      <c r="E376" s="169"/>
      <c r="F376" s="169"/>
      <c r="G376" s="169"/>
      <c r="H376" s="169"/>
      <c r="I376" s="169"/>
      <c r="J376" s="169"/>
      <c r="K376" s="169"/>
      <c r="L376" s="169"/>
      <c r="M376" s="169"/>
      <c r="N376" s="169"/>
      <c r="O376" s="169"/>
      <c r="P376" s="169"/>
      <c r="Q376" s="169"/>
      <c r="R376" s="169"/>
      <c r="S376" s="169"/>
      <c r="T376" s="169"/>
      <c r="U376" s="169"/>
      <c r="V376" s="169"/>
      <c r="W376" s="169"/>
      <c r="X376" s="169"/>
      <c r="Y376" s="169"/>
      <c r="Z376" s="169"/>
      <c r="AA376" s="169"/>
      <c r="AB376" s="169"/>
      <c r="AC376" s="169"/>
    </row>
    <row r="377" spans="1:29" s="12" customFormat="1" hidden="1" x14ac:dyDescent="0.3">
      <c r="A377" s="169"/>
      <c r="B377" s="169"/>
      <c r="C377" s="169"/>
      <c r="D377" s="169"/>
      <c r="E377" s="169"/>
      <c r="F377" s="169"/>
      <c r="G377" s="169"/>
      <c r="H377" s="169"/>
      <c r="I377" s="169"/>
      <c r="J377" s="169"/>
      <c r="K377" s="169"/>
      <c r="L377" s="169"/>
      <c r="M377" s="169"/>
      <c r="N377" s="169"/>
      <c r="O377" s="169"/>
      <c r="P377" s="169"/>
      <c r="Q377" s="169"/>
      <c r="R377" s="169"/>
      <c r="S377" s="169"/>
      <c r="T377" s="169"/>
      <c r="U377" s="169"/>
      <c r="V377" s="169"/>
      <c r="W377" s="169"/>
      <c r="X377" s="169"/>
      <c r="Y377" s="169"/>
      <c r="Z377" s="169"/>
      <c r="AA377" s="169"/>
      <c r="AB377" s="169"/>
      <c r="AC377" s="169"/>
    </row>
    <row r="378" spans="1:29" s="12" customFormat="1" hidden="1" x14ac:dyDescent="0.3">
      <c r="A378" s="169"/>
      <c r="B378" s="169"/>
      <c r="C378" s="169"/>
      <c r="D378" s="169"/>
      <c r="E378" s="169"/>
      <c r="F378" s="169"/>
      <c r="G378" s="169"/>
      <c r="H378" s="169"/>
      <c r="I378" s="169"/>
      <c r="J378" s="169"/>
      <c r="K378" s="169"/>
      <c r="L378" s="169"/>
      <c r="M378" s="169"/>
      <c r="N378" s="169"/>
      <c r="O378" s="169"/>
      <c r="P378" s="169"/>
      <c r="Q378" s="169"/>
      <c r="R378" s="169"/>
      <c r="S378" s="169"/>
      <c r="T378" s="169"/>
      <c r="U378" s="169"/>
      <c r="V378" s="169"/>
      <c r="W378" s="169"/>
      <c r="X378" s="169"/>
      <c r="Y378" s="169"/>
      <c r="Z378" s="169"/>
      <c r="AA378" s="169"/>
      <c r="AB378" s="169"/>
      <c r="AC378" s="169"/>
    </row>
    <row r="379" spans="1:29" s="12" customFormat="1" hidden="1" x14ac:dyDescent="0.3">
      <c r="A379" s="169"/>
      <c r="B379" s="169"/>
      <c r="C379" s="169"/>
      <c r="D379" s="169"/>
      <c r="E379" s="169"/>
      <c r="F379" s="169"/>
      <c r="G379" s="169"/>
      <c r="H379" s="169"/>
      <c r="I379" s="169"/>
      <c r="J379" s="169"/>
      <c r="K379" s="169"/>
      <c r="L379" s="169"/>
      <c r="M379" s="169"/>
      <c r="N379" s="169"/>
      <c r="O379" s="169"/>
      <c r="P379" s="169"/>
      <c r="Q379" s="169"/>
      <c r="R379" s="169"/>
      <c r="S379" s="169"/>
      <c r="T379" s="169"/>
      <c r="U379" s="169"/>
      <c r="V379" s="169"/>
      <c r="W379" s="169"/>
      <c r="X379" s="169"/>
      <c r="Y379" s="169"/>
      <c r="Z379" s="169"/>
      <c r="AA379" s="169"/>
      <c r="AB379" s="169"/>
      <c r="AC379" s="169"/>
    </row>
    <row r="380" spans="1:29" s="12" customFormat="1" hidden="1" x14ac:dyDescent="0.3">
      <c r="A380" s="169"/>
      <c r="B380" s="169"/>
      <c r="C380" s="169"/>
      <c r="D380" s="169"/>
      <c r="E380" s="169"/>
      <c r="F380" s="169"/>
      <c r="G380" s="169"/>
      <c r="H380" s="169"/>
      <c r="I380" s="169"/>
      <c r="J380" s="169"/>
      <c r="K380" s="169"/>
      <c r="L380" s="169"/>
      <c r="M380" s="169"/>
      <c r="N380" s="169"/>
      <c r="O380" s="169"/>
      <c r="P380" s="169"/>
      <c r="Q380" s="169"/>
      <c r="R380" s="169"/>
      <c r="S380" s="169"/>
      <c r="T380" s="169"/>
      <c r="U380" s="169"/>
      <c r="V380" s="169"/>
      <c r="W380" s="169"/>
      <c r="X380" s="169"/>
      <c r="Y380" s="169"/>
      <c r="Z380" s="169"/>
      <c r="AA380" s="169"/>
      <c r="AB380" s="169"/>
      <c r="AC380" s="169"/>
    </row>
    <row r="381" spans="1:29" s="12" customFormat="1" hidden="1" x14ac:dyDescent="0.3">
      <c r="A381" s="169"/>
      <c r="B381" s="169"/>
      <c r="C381" s="169"/>
      <c r="D381" s="169"/>
      <c r="E381" s="169"/>
      <c r="F381" s="169"/>
      <c r="G381" s="169"/>
      <c r="H381" s="169"/>
      <c r="I381" s="169"/>
      <c r="J381" s="169"/>
      <c r="K381" s="169"/>
      <c r="L381" s="169"/>
      <c r="M381" s="169"/>
      <c r="N381" s="169"/>
      <c r="O381" s="169"/>
      <c r="P381" s="169"/>
      <c r="Q381" s="169"/>
      <c r="R381" s="169"/>
      <c r="S381" s="169"/>
      <c r="T381" s="169"/>
      <c r="U381" s="169"/>
      <c r="V381" s="169"/>
      <c r="W381" s="169"/>
      <c r="X381" s="169"/>
      <c r="Y381" s="169"/>
      <c r="Z381" s="169"/>
      <c r="AA381" s="169"/>
      <c r="AB381" s="169"/>
      <c r="AC381" s="169"/>
    </row>
    <row r="382" spans="1:29" s="12" customFormat="1" hidden="1" x14ac:dyDescent="0.3">
      <c r="A382" s="169"/>
      <c r="B382" s="169"/>
      <c r="C382" s="169"/>
      <c r="D382" s="169"/>
      <c r="E382" s="169"/>
      <c r="F382" s="169"/>
      <c r="G382" s="169"/>
      <c r="H382" s="169"/>
      <c r="I382" s="169"/>
      <c r="J382" s="169"/>
      <c r="K382" s="169"/>
      <c r="L382" s="169"/>
      <c r="M382" s="169"/>
      <c r="N382" s="169"/>
      <c r="O382" s="169"/>
      <c r="P382" s="169"/>
      <c r="Q382" s="169"/>
      <c r="R382" s="169"/>
      <c r="S382" s="169"/>
      <c r="T382" s="169"/>
      <c r="U382" s="169"/>
      <c r="V382" s="169"/>
      <c r="W382" s="169"/>
      <c r="X382" s="169"/>
      <c r="Y382" s="169"/>
      <c r="Z382" s="169"/>
      <c r="AA382" s="169"/>
      <c r="AB382" s="169"/>
      <c r="AC382" s="169"/>
    </row>
    <row r="383" spans="1:29" s="12" customFormat="1" hidden="1" x14ac:dyDescent="0.3">
      <c r="A383" s="169"/>
      <c r="B383" s="169"/>
      <c r="C383" s="169"/>
      <c r="D383" s="169"/>
      <c r="E383" s="169"/>
      <c r="F383" s="169"/>
      <c r="G383" s="169"/>
      <c r="H383" s="169"/>
      <c r="I383" s="169"/>
      <c r="J383" s="169"/>
      <c r="K383" s="169"/>
      <c r="L383" s="169"/>
      <c r="M383" s="169"/>
      <c r="N383" s="169"/>
      <c r="O383" s="169"/>
      <c r="P383" s="169"/>
      <c r="Q383" s="169"/>
      <c r="R383" s="169"/>
      <c r="S383" s="169"/>
      <c r="T383" s="169"/>
      <c r="U383" s="169"/>
      <c r="V383" s="169"/>
      <c r="W383" s="169"/>
      <c r="X383" s="169"/>
      <c r="Y383" s="169"/>
      <c r="Z383" s="169"/>
      <c r="AA383" s="169"/>
      <c r="AB383" s="169"/>
      <c r="AC383" s="169"/>
    </row>
    <row r="384" spans="1:29" s="12" customFormat="1" hidden="1" x14ac:dyDescent="0.3">
      <c r="A384" s="169"/>
      <c r="B384" s="169"/>
      <c r="C384" s="169"/>
      <c r="D384" s="169"/>
      <c r="E384" s="169"/>
      <c r="F384" s="169"/>
      <c r="G384" s="169"/>
      <c r="H384" s="169"/>
      <c r="I384" s="169"/>
      <c r="J384" s="169"/>
      <c r="K384" s="169"/>
      <c r="L384" s="169"/>
      <c r="M384" s="169"/>
      <c r="N384" s="169"/>
      <c r="O384" s="169"/>
      <c r="P384" s="169"/>
      <c r="Q384" s="169"/>
      <c r="R384" s="169"/>
      <c r="S384" s="169"/>
      <c r="T384" s="169"/>
      <c r="U384" s="169"/>
      <c r="V384" s="169"/>
      <c r="W384" s="169"/>
      <c r="X384" s="169"/>
      <c r="Y384" s="169"/>
      <c r="Z384" s="169"/>
      <c r="AA384" s="169"/>
      <c r="AB384" s="169"/>
      <c r="AC384" s="169"/>
    </row>
    <row r="385" spans="1:29" s="12" customFormat="1" hidden="1" x14ac:dyDescent="0.3">
      <c r="A385" s="169"/>
      <c r="B385" s="169"/>
      <c r="C385" s="169"/>
      <c r="D385" s="169"/>
      <c r="E385" s="169"/>
      <c r="F385" s="169"/>
      <c r="G385" s="169"/>
      <c r="H385" s="169"/>
      <c r="I385" s="169"/>
      <c r="J385" s="169"/>
      <c r="K385" s="169"/>
      <c r="L385" s="169"/>
      <c r="M385" s="169"/>
      <c r="N385" s="169"/>
      <c r="O385" s="169"/>
      <c r="P385" s="169"/>
      <c r="Q385" s="169"/>
      <c r="R385" s="169"/>
      <c r="S385" s="169"/>
      <c r="T385" s="169"/>
      <c r="U385" s="169"/>
      <c r="V385" s="169"/>
      <c r="W385" s="169"/>
      <c r="X385" s="169"/>
      <c r="Y385" s="169"/>
      <c r="Z385" s="169"/>
      <c r="AA385" s="169"/>
      <c r="AB385" s="169"/>
      <c r="AC385" s="169"/>
    </row>
    <row r="386" spans="1:29" s="12" customFormat="1" hidden="1" x14ac:dyDescent="0.3">
      <c r="A386" s="169"/>
      <c r="B386" s="169"/>
      <c r="C386" s="169"/>
      <c r="D386" s="169"/>
      <c r="E386" s="169"/>
      <c r="F386" s="169"/>
      <c r="G386" s="169"/>
      <c r="H386" s="169"/>
      <c r="I386" s="169"/>
      <c r="J386" s="169"/>
      <c r="K386" s="169"/>
      <c r="L386" s="169"/>
      <c r="M386" s="169"/>
      <c r="N386" s="169"/>
      <c r="O386" s="169"/>
      <c r="P386" s="169"/>
      <c r="Q386" s="169"/>
      <c r="R386" s="169"/>
      <c r="S386" s="169"/>
      <c r="T386" s="169"/>
      <c r="U386" s="169"/>
      <c r="V386" s="169"/>
      <c r="W386" s="169"/>
      <c r="X386" s="169"/>
      <c r="Y386" s="169"/>
      <c r="Z386" s="169"/>
      <c r="AA386" s="169"/>
      <c r="AB386" s="169"/>
      <c r="AC386" s="169"/>
    </row>
    <row r="387" spans="1:29" s="12" customFormat="1" hidden="1" x14ac:dyDescent="0.3">
      <c r="A387" s="169"/>
      <c r="B387" s="169"/>
      <c r="C387" s="169"/>
      <c r="D387" s="169"/>
      <c r="E387" s="169"/>
      <c r="F387" s="169"/>
      <c r="G387" s="169"/>
      <c r="H387" s="169"/>
      <c r="I387" s="169"/>
      <c r="J387" s="169"/>
      <c r="K387" s="169"/>
      <c r="L387" s="169"/>
      <c r="M387" s="169"/>
      <c r="N387" s="169"/>
      <c r="O387" s="169"/>
      <c r="P387" s="169"/>
      <c r="Q387" s="169"/>
      <c r="R387" s="169"/>
      <c r="S387" s="169"/>
      <c r="T387" s="169"/>
      <c r="U387" s="169"/>
      <c r="V387" s="169"/>
      <c r="W387" s="169"/>
      <c r="X387" s="169"/>
      <c r="Y387" s="169"/>
      <c r="Z387" s="169"/>
      <c r="AA387" s="169"/>
      <c r="AB387" s="169"/>
      <c r="AC387" s="169"/>
    </row>
    <row r="388" spans="1:29" s="12" customFormat="1" hidden="1" x14ac:dyDescent="0.3">
      <c r="A388" s="169"/>
      <c r="B388" s="169"/>
      <c r="C388" s="169"/>
      <c r="D388" s="169"/>
      <c r="E388" s="169"/>
      <c r="F388" s="169"/>
      <c r="G388" s="169"/>
      <c r="H388" s="169"/>
      <c r="I388" s="169"/>
      <c r="J388" s="169"/>
      <c r="K388" s="169"/>
      <c r="L388" s="169"/>
      <c r="M388" s="169"/>
      <c r="N388" s="169"/>
      <c r="O388" s="169"/>
      <c r="P388" s="169"/>
      <c r="Q388" s="169"/>
      <c r="R388" s="169"/>
      <c r="S388" s="169"/>
      <c r="T388" s="169"/>
      <c r="U388" s="169"/>
      <c r="V388" s="169"/>
      <c r="W388" s="169"/>
      <c r="X388" s="169"/>
      <c r="Y388" s="169"/>
      <c r="Z388" s="169"/>
      <c r="AA388" s="169"/>
      <c r="AB388" s="169"/>
      <c r="AC388" s="169"/>
    </row>
    <row r="389" spans="1:29" s="12" customFormat="1" hidden="1" x14ac:dyDescent="0.3">
      <c r="A389" s="169"/>
      <c r="B389" s="169"/>
      <c r="C389" s="169"/>
      <c r="D389" s="169"/>
      <c r="E389" s="169"/>
      <c r="F389" s="169"/>
      <c r="G389" s="169"/>
      <c r="H389" s="169"/>
      <c r="I389" s="169"/>
      <c r="J389" s="169"/>
      <c r="K389" s="169"/>
      <c r="L389" s="169"/>
      <c r="M389" s="169"/>
      <c r="N389" s="169"/>
      <c r="O389" s="169"/>
      <c r="P389" s="169"/>
      <c r="Q389" s="169"/>
      <c r="R389" s="169"/>
      <c r="S389" s="169"/>
      <c r="T389" s="169"/>
      <c r="U389" s="169"/>
      <c r="V389" s="169"/>
      <c r="W389" s="169"/>
      <c r="X389" s="169"/>
      <c r="Y389" s="169"/>
      <c r="Z389" s="169"/>
      <c r="AA389" s="169"/>
      <c r="AB389" s="169"/>
      <c r="AC389" s="169"/>
    </row>
    <row r="390" spans="1:29" s="12" customFormat="1" hidden="1" x14ac:dyDescent="0.3">
      <c r="A390" s="169"/>
      <c r="B390" s="169"/>
      <c r="C390" s="169"/>
      <c r="D390" s="169"/>
      <c r="E390" s="169"/>
      <c r="F390" s="169"/>
      <c r="G390" s="169"/>
      <c r="H390" s="169"/>
      <c r="I390" s="169"/>
      <c r="J390" s="169"/>
      <c r="K390" s="169"/>
      <c r="L390" s="169"/>
      <c r="M390" s="169"/>
      <c r="N390" s="169"/>
      <c r="O390" s="169"/>
      <c r="P390" s="169"/>
      <c r="Q390" s="169"/>
      <c r="R390" s="169"/>
      <c r="S390" s="169"/>
      <c r="T390" s="169"/>
      <c r="U390" s="169"/>
      <c r="V390" s="169"/>
      <c r="W390" s="169"/>
      <c r="X390" s="169"/>
      <c r="Y390" s="169"/>
      <c r="Z390" s="169"/>
      <c r="AA390" s="169"/>
      <c r="AB390" s="169"/>
      <c r="AC390" s="169"/>
    </row>
    <row r="391" spans="1:29" s="12" customFormat="1" hidden="1" x14ac:dyDescent="0.3">
      <c r="A391" s="169"/>
      <c r="B391" s="169"/>
      <c r="C391" s="169"/>
      <c r="D391" s="169"/>
      <c r="E391" s="169"/>
      <c r="F391" s="169"/>
      <c r="G391" s="169"/>
      <c r="H391" s="169"/>
      <c r="I391" s="169"/>
      <c r="J391" s="169"/>
      <c r="K391" s="169"/>
      <c r="L391" s="169"/>
      <c r="M391" s="169"/>
      <c r="N391" s="169"/>
      <c r="O391" s="169"/>
      <c r="P391" s="169"/>
      <c r="Q391" s="169"/>
      <c r="R391" s="169"/>
      <c r="S391" s="169"/>
      <c r="T391" s="169"/>
      <c r="U391" s="169"/>
      <c r="V391" s="169"/>
      <c r="W391" s="169"/>
      <c r="X391" s="169"/>
      <c r="Y391" s="169"/>
      <c r="Z391" s="169"/>
      <c r="AA391" s="169"/>
      <c r="AB391" s="169"/>
      <c r="AC391" s="169"/>
    </row>
    <row r="392" spans="1:29" s="12" customFormat="1" hidden="1" x14ac:dyDescent="0.3">
      <c r="A392" s="169"/>
      <c r="B392" s="169"/>
      <c r="C392" s="169"/>
      <c r="D392" s="169"/>
      <c r="E392" s="169"/>
      <c r="F392" s="169"/>
      <c r="G392" s="169"/>
      <c r="H392" s="169"/>
      <c r="I392" s="169"/>
      <c r="J392" s="169"/>
      <c r="K392" s="169"/>
      <c r="L392" s="169"/>
      <c r="M392" s="169"/>
      <c r="N392" s="169"/>
      <c r="O392" s="169"/>
      <c r="P392" s="169"/>
      <c r="Q392" s="169"/>
      <c r="R392" s="169"/>
      <c r="S392" s="169"/>
      <c r="T392" s="169"/>
      <c r="U392" s="169"/>
      <c r="V392" s="169"/>
      <c r="W392" s="169"/>
      <c r="X392" s="169"/>
      <c r="Y392" s="169"/>
      <c r="Z392" s="169"/>
      <c r="AA392" s="169"/>
      <c r="AB392" s="169"/>
      <c r="AC392" s="169"/>
    </row>
    <row r="393" spans="1:29" s="12" customFormat="1" hidden="1" x14ac:dyDescent="0.3">
      <c r="A393" s="169"/>
      <c r="B393" s="169"/>
      <c r="C393" s="169"/>
      <c r="D393" s="169"/>
      <c r="E393" s="169"/>
      <c r="F393" s="169"/>
      <c r="G393" s="169"/>
      <c r="H393" s="169"/>
      <c r="I393" s="169"/>
      <c r="J393" s="169"/>
      <c r="K393" s="169"/>
      <c r="L393" s="169"/>
      <c r="M393" s="169"/>
      <c r="N393" s="169"/>
      <c r="O393" s="169"/>
      <c r="P393" s="169"/>
      <c r="Q393" s="169"/>
      <c r="R393" s="169"/>
      <c r="S393" s="169"/>
      <c r="T393" s="169"/>
      <c r="U393" s="169"/>
      <c r="V393" s="169"/>
      <c r="W393" s="169"/>
      <c r="X393" s="169"/>
      <c r="Y393" s="169"/>
      <c r="Z393" s="169"/>
      <c r="AA393" s="169"/>
      <c r="AB393" s="169"/>
      <c r="AC393" s="169"/>
    </row>
    <row r="394" spans="1:29" s="12" customFormat="1" hidden="1" x14ac:dyDescent="0.3">
      <c r="A394" s="169"/>
      <c r="B394" s="169"/>
      <c r="C394" s="169"/>
      <c r="D394" s="169"/>
      <c r="E394" s="169"/>
      <c r="F394" s="169"/>
      <c r="G394" s="169"/>
      <c r="H394" s="169"/>
      <c r="I394" s="169"/>
      <c r="J394" s="169"/>
      <c r="K394" s="169"/>
      <c r="L394" s="169"/>
      <c r="M394" s="169"/>
      <c r="N394" s="169"/>
      <c r="O394" s="169"/>
      <c r="P394" s="169"/>
      <c r="Q394" s="169"/>
      <c r="R394" s="169"/>
      <c r="S394" s="169"/>
      <c r="T394" s="169"/>
      <c r="U394" s="169"/>
      <c r="V394" s="169"/>
      <c r="W394" s="169"/>
      <c r="X394" s="169"/>
      <c r="Y394" s="169"/>
      <c r="Z394" s="169"/>
      <c r="AA394" s="169"/>
      <c r="AB394" s="169"/>
      <c r="AC394" s="169"/>
    </row>
    <row r="395" spans="1:29" s="12" customFormat="1" hidden="1" x14ac:dyDescent="0.3">
      <c r="A395" s="169"/>
      <c r="B395" s="169"/>
      <c r="C395" s="169"/>
      <c r="D395" s="169"/>
      <c r="E395" s="169"/>
      <c r="F395" s="169"/>
      <c r="G395" s="169"/>
      <c r="H395" s="169"/>
      <c r="I395" s="169"/>
      <c r="J395" s="169"/>
      <c r="K395" s="169"/>
      <c r="L395" s="169"/>
      <c r="M395" s="169"/>
      <c r="N395" s="169"/>
      <c r="O395" s="169"/>
      <c r="P395" s="169"/>
      <c r="Q395" s="169"/>
      <c r="R395" s="169"/>
      <c r="S395" s="169"/>
      <c r="T395" s="169"/>
      <c r="U395" s="169"/>
      <c r="V395" s="169"/>
      <c r="W395" s="169"/>
      <c r="X395" s="169"/>
      <c r="Y395" s="169"/>
      <c r="Z395" s="169"/>
      <c r="AA395" s="169"/>
      <c r="AB395" s="169"/>
      <c r="AC395" s="169"/>
    </row>
    <row r="396" spans="1:29" s="12" customFormat="1" hidden="1" x14ac:dyDescent="0.3">
      <c r="A396" s="169"/>
      <c r="B396" s="169"/>
      <c r="C396" s="169"/>
      <c r="D396" s="169"/>
      <c r="E396" s="169"/>
      <c r="F396" s="169"/>
      <c r="G396" s="169"/>
      <c r="H396" s="169"/>
      <c r="I396" s="169"/>
      <c r="J396" s="169"/>
      <c r="K396" s="169"/>
      <c r="L396" s="169"/>
      <c r="M396" s="169"/>
      <c r="N396" s="169"/>
      <c r="O396" s="169"/>
      <c r="P396" s="169"/>
      <c r="Q396" s="169"/>
      <c r="R396" s="169"/>
      <c r="S396" s="169"/>
      <c r="T396" s="169"/>
      <c r="U396" s="169"/>
      <c r="V396" s="169"/>
      <c r="W396" s="169"/>
      <c r="X396" s="169"/>
      <c r="Y396" s="169"/>
      <c r="Z396" s="169"/>
      <c r="AA396" s="169"/>
      <c r="AB396" s="169"/>
      <c r="AC396" s="169"/>
    </row>
    <row r="397" spans="1:29" s="12" customFormat="1" hidden="1" x14ac:dyDescent="0.3">
      <c r="A397" s="169"/>
      <c r="B397" s="169"/>
      <c r="C397" s="169"/>
      <c r="D397" s="169"/>
      <c r="E397" s="169"/>
      <c r="F397" s="169"/>
      <c r="G397" s="169"/>
      <c r="H397" s="169"/>
      <c r="I397" s="169"/>
      <c r="J397" s="169"/>
      <c r="K397" s="169"/>
      <c r="L397" s="169"/>
      <c r="M397" s="169"/>
      <c r="N397" s="169"/>
      <c r="O397" s="169"/>
      <c r="P397" s="169"/>
      <c r="Q397" s="169"/>
      <c r="R397" s="169"/>
      <c r="S397" s="169"/>
      <c r="T397" s="169"/>
      <c r="U397" s="169"/>
      <c r="V397" s="169"/>
      <c r="W397" s="169"/>
      <c r="X397" s="169"/>
      <c r="Y397" s="169"/>
      <c r="Z397" s="169"/>
      <c r="AA397" s="169"/>
      <c r="AB397" s="169"/>
      <c r="AC397" s="169"/>
    </row>
    <row r="398" spans="1:29" s="12" customFormat="1" hidden="1" x14ac:dyDescent="0.3">
      <c r="A398" s="169"/>
      <c r="B398" s="169"/>
      <c r="C398" s="169"/>
      <c r="D398" s="169"/>
      <c r="E398" s="169"/>
      <c r="F398" s="169"/>
      <c r="G398" s="169"/>
      <c r="H398" s="169"/>
      <c r="I398" s="169"/>
      <c r="J398" s="169"/>
      <c r="K398" s="169"/>
      <c r="L398" s="169"/>
      <c r="M398" s="169"/>
      <c r="N398" s="169"/>
      <c r="O398" s="169"/>
      <c r="P398" s="169"/>
      <c r="Q398" s="169"/>
      <c r="R398" s="169"/>
      <c r="S398" s="169"/>
      <c r="T398" s="169"/>
      <c r="U398" s="169"/>
      <c r="V398" s="169"/>
      <c r="W398" s="169"/>
      <c r="X398" s="169"/>
      <c r="Y398" s="169"/>
      <c r="Z398" s="169"/>
      <c r="AA398" s="169"/>
      <c r="AB398" s="169"/>
      <c r="AC398" s="169"/>
    </row>
    <row r="399" spans="1:29" s="12" customFormat="1" hidden="1" x14ac:dyDescent="0.3">
      <c r="A399" s="169"/>
      <c r="B399" s="169"/>
      <c r="C399" s="169"/>
      <c r="D399" s="169"/>
      <c r="E399" s="169"/>
      <c r="F399" s="169"/>
      <c r="G399" s="169"/>
      <c r="H399" s="169"/>
      <c r="I399" s="169"/>
      <c r="J399" s="169"/>
      <c r="K399" s="169"/>
      <c r="L399" s="169"/>
      <c r="M399" s="169"/>
      <c r="N399" s="169"/>
      <c r="O399" s="169"/>
      <c r="P399" s="169"/>
      <c r="Q399" s="169"/>
      <c r="R399" s="169"/>
      <c r="S399" s="169"/>
      <c r="T399" s="169"/>
      <c r="U399" s="169"/>
      <c r="V399" s="169"/>
      <c r="W399" s="169"/>
      <c r="X399" s="169"/>
      <c r="Y399" s="169"/>
      <c r="Z399" s="169"/>
      <c r="AA399" s="169"/>
      <c r="AB399" s="169"/>
      <c r="AC399" s="169"/>
    </row>
    <row r="400" spans="1:29" s="12" customFormat="1" hidden="1" x14ac:dyDescent="0.3">
      <c r="A400" s="169"/>
      <c r="B400" s="169"/>
      <c r="C400" s="169"/>
      <c r="D400" s="169"/>
      <c r="E400" s="169"/>
      <c r="F400" s="169"/>
      <c r="G400" s="169"/>
      <c r="H400" s="169"/>
      <c r="I400" s="169"/>
      <c r="J400" s="169"/>
      <c r="K400" s="169"/>
      <c r="L400" s="169"/>
      <c r="M400" s="169"/>
      <c r="N400" s="169"/>
      <c r="O400" s="169"/>
      <c r="P400" s="169"/>
      <c r="Q400" s="169"/>
      <c r="R400" s="169"/>
      <c r="S400" s="169"/>
      <c r="T400" s="169"/>
      <c r="U400" s="169"/>
      <c r="V400" s="169"/>
      <c r="W400" s="169"/>
      <c r="X400" s="169"/>
      <c r="Y400" s="169"/>
      <c r="Z400" s="169"/>
      <c r="AA400" s="169"/>
      <c r="AB400" s="169"/>
      <c r="AC400" s="169"/>
    </row>
    <row r="401" spans="1:29" s="12" customFormat="1" hidden="1" x14ac:dyDescent="0.3">
      <c r="A401" s="169"/>
      <c r="B401" s="169"/>
      <c r="C401" s="169"/>
      <c r="D401" s="169"/>
      <c r="E401" s="169"/>
      <c r="F401" s="169"/>
      <c r="G401" s="169"/>
      <c r="H401" s="169"/>
      <c r="I401" s="169"/>
      <c r="J401" s="169"/>
      <c r="K401" s="169"/>
      <c r="L401" s="169"/>
      <c r="M401" s="169"/>
      <c r="N401" s="169"/>
      <c r="O401" s="169"/>
      <c r="P401" s="169"/>
      <c r="Q401" s="169"/>
      <c r="R401" s="169"/>
      <c r="S401" s="169"/>
      <c r="T401" s="169"/>
      <c r="U401" s="169"/>
      <c r="V401" s="169"/>
      <c r="W401" s="169"/>
      <c r="X401" s="169"/>
      <c r="Y401" s="169"/>
      <c r="Z401" s="169"/>
      <c r="AA401" s="169"/>
      <c r="AB401" s="169"/>
      <c r="AC401" s="169"/>
    </row>
    <row r="402" spans="1:29" s="12" customFormat="1" hidden="1" x14ac:dyDescent="0.3">
      <c r="A402" s="169"/>
      <c r="B402" s="169"/>
      <c r="C402" s="169"/>
      <c r="D402" s="169"/>
      <c r="E402" s="169"/>
      <c r="F402" s="169"/>
      <c r="G402" s="169"/>
      <c r="H402" s="169"/>
      <c r="I402" s="169"/>
      <c r="J402" s="169"/>
      <c r="K402" s="169"/>
      <c r="L402" s="169"/>
      <c r="M402" s="169"/>
      <c r="N402" s="169"/>
      <c r="O402" s="169"/>
      <c r="P402" s="169"/>
      <c r="Q402" s="169"/>
      <c r="R402" s="169"/>
      <c r="S402" s="169"/>
      <c r="T402" s="169"/>
      <c r="U402" s="169"/>
      <c r="V402" s="169"/>
      <c r="W402" s="169"/>
      <c r="X402" s="169"/>
      <c r="Y402" s="169"/>
      <c r="Z402" s="169"/>
      <c r="AA402" s="169"/>
      <c r="AB402" s="169"/>
      <c r="AC402" s="169"/>
    </row>
    <row r="403" spans="1:29" s="12" customFormat="1" hidden="1" x14ac:dyDescent="0.3">
      <c r="A403" s="169"/>
      <c r="B403" s="169"/>
      <c r="C403" s="169"/>
      <c r="D403" s="169"/>
      <c r="E403" s="169"/>
      <c r="F403" s="169"/>
      <c r="G403" s="169"/>
      <c r="H403" s="169"/>
      <c r="I403" s="169"/>
      <c r="J403" s="169"/>
      <c r="K403" s="169"/>
      <c r="L403" s="169"/>
      <c r="M403" s="169"/>
      <c r="N403" s="169"/>
      <c r="O403" s="169"/>
      <c r="P403" s="169"/>
      <c r="Q403" s="169"/>
      <c r="R403" s="169"/>
      <c r="S403" s="169"/>
      <c r="T403" s="169"/>
      <c r="U403" s="169"/>
      <c r="V403" s="169"/>
      <c r="W403" s="169"/>
      <c r="X403" s="169"/>
      <c r="Y403" s="169"/>
      <c r="Z403" s="169"/>
      <c r="AA403" s="169"/>
      <c r="AB403" s="169"/>
      <c r="AC403" s="169"/>
    </row>
    <row r="404" spans="1:29" s="12" customFormat="1" hidden="1" x14ac:dyDescent="0.3">
      <c r="A404" s="169"/>
      <c r="B404" s="169"/>
      <c r="C404" s="169"/>
      <c r="D404" s="169"/>
      <c r="E404" s="169"/>
      <c r="F404" s="169"/>
      <c r="G404" s="169"/>
      <c r="H404" s="169"/>
      <c r="I404" s="169"/>
      <c r="J404" s="169"/>
      <c r="K404" s="169"/>
      <c r="L404" s="169"/>
      <c r="M404" s="169"/>
      <c r="N404" s="169"/>
      <c r="O404" s="169"/>
      <c r="P404" s="169"/>
      <c r="Q404" s="169"/>
      <c r="R404" s="169"/>
      <c r="S404" s="169"/>
      <c r="T404" s="169"/>
      <c r="U404" s="169"/>
      <c r="V404" s="169"/>
      <c r="W404" s="169"/>
      <c r="X404" s="169"/>
      <c r="Y404" s="169"/>
      <c r="Z404" s="169"/>
      <c r="AA404" s="169"/>
      <c r="AB404" s="169"/>
      <c r="AC404" s="169"/>
    </row>
    <row r="405" spans="1:29" s="12" customFormat="1" hidden="1" x14ac:dyDescent="0.3">
      <c r="A405" s="169"/>
      <c r="B405" s="169"/>
      <c r="C405" s="169"/>
      <c r="D405" s="169"/>
      <c r="E405" s="169"/>
      <c r="F405" s="169"/>
      <c r="G405" s="169"/>
      <c r="H405" s="169"/>
      <c r="I405" s="169"/>
      <c r="J405" s="169"/>
      <c r="K405" s="169"/>
      <c r="L405" s="169"/>
      <c r="M405" s="169"/>
      <c r="N405" s="169"/>
      <c r="O405" s="169"/>
      <c r="P405" s="169"/>
      <c r="Q405" s="169"/>
      <c r="R405" s="169"/>
      <c r="S405" s="169"/>
      <c r="T405" s="169"/>
      <c r="U405" s="169"/>
      <c r="V405" s="169"/>
      <c r="W405" s="169"/>
      <c r="X405" s="169"/>
      <c r="Y405" s="169"/>
      <c r="Z405" s="169"/>
      <c r="AA405" s="169"/>
      <c r="AB405" s="169"/>
      <c r="AC405" s="169"/>
    </row>
    <row r="406" spans="1:29" s="12" customFormat="1" hidden="1" x14ac:dyDescent="0.3">
      <c r="A406" s="169"/>
      <c r="B406" s="169"/>
      <c r="C406" s="169"/>
      <c r="D406" s="169"/>
      <c r="E406" s="169"/>
      <c r="F406" s="169"/>
      <c r="G406" s="169"/>
      <c r="H406" s="169"/>
      <c r="I406" s="169"/>
      <c r="J406" s="169"/>
      <c r="K406" s="169"/>
      <c r="L406" s="169"/>
      <c r="M406" s="169"/>
      <c r="N406" s="169"/>
      <c r="O406" s="169"/>
      <c r="P406" s="169"/>
      <c r="Q406" s="169"/>
      <c r="R406" s="169"/>
      <c r="S406" s="169"/>
      <c r="T406" s="169"/>
      <c r="U406" s="169"/>
      <c r="V406" s="169"/>
      <c r="W406" s="169"/>
      <c r="X406" s="169"/>
      <c r="Y406" s="169"/>
      <c r="Z406" s="169"/>
      <c r="AA406" s="169"/>
      <c r="AB406" s="169"/>
      <c r="AC406" s="169"/>
    </row>
    <row r="407" spans="1:29" s="12" customFormat="1" hidden="1" x14ac:dyDescent="0.3">
      <c r="A407" s="169"/>
      <c r="B407" s="169"/>
      <c r="C407" s="169"/>
      <c r="D407" s="169"/>
      <c r="E407" s="169"/>
      <c r="F407" s="169"/>
      <c r="G407" s="169"/>
      <c r="H407" s="169"/>
      <c r="I407" s="169"/>
      <c r="J407" s="169"/>
      <c r="K407" s="169"/>
      <c r="L407" s="169"/>
      <c r="M407" s="169"/>
      <c r="N407" s="169"/>
      <c r="O407" s="169"/>
      <c r="P407" s="169"/>
      <c r="Q407" s="169"/>
      <c r="R407" s="169"/>
      <c r="S407" s="169"/>
      <c r="T407" s="169"/>
      <c r="U407" s="169"/>
      <c r="V407" s="169"/>
      <c r="W407" s="169"/>
      <c r="X407" s="169"/>
      <c r="Y407" s="169"/>
      <c r="Z407" s="169"/>
      <c r="AA407" s="169"/>
      <c r="AB407" s="169"/>
      <c r="AC407" s="169"/>
    </row>
    <row r="408" spans="1:29" s="12" customFormat="1" hidden="1" x14ac:dyDescent="0.3">
      <c r="A408" s="169"/>
      <c r="B408" s="169"/>
      <c r="C408" s="169"/>
      <c r="D408" s="169"/>
      <c r="E408" s="169"/>
      <c r="F408" s="169"/>
      <c r="G408" s="169"/>
      <c r="H408" s="169"/>
      <c r="I408" s="169"/>
      <c r="J408" s="169"/>
      <c r="K408" s="169"/>
      <c r="L408" s="169"/>
      <c r="M408" s="169"/>
      <c r="N408" s="169"/>
      <c r="O408" s="169"/>
      <c r="P408" s="169"/>
      <c r="Q408" s="169"/>
      <c r="R408" s="169"/>
      <c r="S408" s="169"/>
      <c r="T408" s="169"/>
      <c r="U408" s="169"/>
      <c r="V408" s="169"/>
      <c r="W408" s="169"/>
      <c r="X408" s="169"/>
      <c r="Y408" s="169"/>
      <c r="Z408" s="169"/>
      <c r="AA408" s="169"/>
      <c r="AB408" s="169"/>
      <c r="AC408" s="169"/>
    </row>
    <row r="409" spans="1:29" s="12" customFormat="1" hidden="1" x14ac:dyDescent="0.3">
      <c r="A409" s="169"/>
      <c r="B409" s="169"/>
      <c r="C409" s="169"/>
      <c r="D409" s="169"/>
      <c r="E409" s="169"/>
      <c r="F409" s="169"/>
      <c r="G409" s="169"/>
      <c r="H409" s="169"/>
      <c r="I409" s="169"/>
      <c r="J409" s="169"/>
      <c r="K409" s="169"/>
      <c r="L409" s="169"/>
      <c r="M409" s="169"/>
      <c r="N409" s="169"/>
      <c r="O409" s="169"/>
      <c r="P409" s="169"/>
      <c r="Q409" s="169"/>
      <c r="R409" s="169"/>
      <c r="S409" s="169"/>
      <c r="T409" s="169"/>
      <c r="U409" s="169"/>
      <c r="V409" s="169"/>
      <c r="W409" s="169"/>
      <c r="X409" s="169"/>
      <c r="Y409" s="169"/>
      <c r="Z409" s="169"/>
      <c r="AA409" s="169"/>
      <c r="AB409" s="169"/>
      <c r="AC409" s="169"/>
    </row>
    <row r="410" spans="1:29" s="12" customFormat="1" hidden="1" x14ac:dyDescent="0.3">
      <c r="A410" s="169"/>
      <c r="B410" s="169"/>
      <c r="C410" s="169"/>
      <c r="D410" s="169"/>
      <c r="E410" s="169"/>
      <c r="F410" s="169"/>
      <c r="G410" s="169"/>
      <c r="H410" s="169"/>
      <c r="I410" s="169"/>
      <c r="J410" s="169"/>
      <c r="K410" s="169"/>
      <c r="L410" s="169"/>
      <c r="M410" s="169"/>
      <c r="N410" s="169"/>
      <c r="O410" s="169"/>
      <c r="P410" s="169"/>
      <c r="Q410" s="169"/>
      <c r="R410" s="169"/>
      <c r="S410" s="169"/>
      <c r="T410" s="169"/>
      <c r="U410" s="169"/>
      <c r="V410" s="169"/>
      <c r="W410" s="169"/>
      <c r="X410" s="169"/>
      <c r="Y410" s="169"/>
      <c r="Z410" s="169"/>
      <c r="AA410" s="169"/>
      <c r="AB410" s="169"/>
      <c r="AC410" s="169"/>
    </row>
    <row r="411" spans="1:29" s="12" customFormat="1" hidden="1" x14ac:dyDescent="0.3">
      <c r="A411" s="169"/>
      <c r="B411" s="169"/>
      <c r="C411" s="169"/>
      <c r="D411" s="169"/>
      <c r="E411" s="169"/>
      <c r="F411" s="169"/>
      <c r="G411" s="169"/>
      <c r="H411" s="169"/>
      <c r="I411" s="169"/>
      <c r="J411" s="169"/>
      <c r="K411" s="169"/>
      <c r="L411" s="169"/>
      <c r="M411" s="169"/>
      <c r="N411" s="169"/>
      <c r="O411" s="169"/>
      <c r="P411" s="169"/>
      <c r="Q411" s="169"/>
      <c r="R411" s="169"/>
      <c r="S411" s="169"/>
      <c r="T411" s="169"/>
      <c r="U411" s="169"/>
      <c r="V411" s="169"/>
      <c r="W411" s="169"/>
      <c r="X411" s="169"/>
      <c r="Y411" s="169"/>
      <c r="Z411" s="169"/>
      <c r="AA411" s="169"/>
      <c r="AB411" s="169"/>
      <c r="AC411" s="169"/>
    </row>
    <row r="412" spans="1:29" s="12" customFormat="1" hidden="1" x14ac:dyDescent="0.3">
      <c r="A412" s="169"/>
      <c r="B412" s="169"/>
      <c r="C412" s="169"/>
      <c r="D412" s="169"/>
      <c r="E412" s="169"/>
      <c r="F412" s="169"/>
      <c r="G412" s="169"/>
      <c r="H412" s="169"/>
      <c r="I412" s="169"/>
      <c r="J412" s="169"/>
      <c r="K412" s="169"/>
      <c r="L412" s="169"/>
      <c r="M412" s="169"/>
      <c r="N412" s="169"/>
      <c r="O412" s="169"/>
      <c r="P412" s="169"/>
      <c r="Q412" s="169"/>
      <c r="R412" s="169"/>
      <c r="S412" s="169"/>
      <c r="T412" s="169"/>
      <c r="U412" s="169"/>
      <c r="V412" s="169"/>
      <c r="W412" s="169"/>
      <c r="X412" s="169"/>
      <c r="Y412" s="169"/>
      <c r="Z412" s="169"/>
      <c r="AA412" s="169"/>
      <c r="AB412" s="169"/>
      <c r="AC412" s="169"/>
    </row>
    <row r="413" spans="1:29" s="12" customFormat="1" hidden="1" x14ac:dyDescent="0.3">
      <c r="A413" s="169"/>
      <c r="B413" s="169"/>
      <c r="C413" s="169"/>
      <c r="D413" s="169"/>
      <c r="E413" s="169"/>
      <c r="F413" s="169"/>
      <c r="G413" s="169"/>
      <c r="H413" s="169"/>
      <c r="I413" s="169"/>
      <c r="J413" s="169"/>
      <c r="K413" s="169"/>
      <c r="L413" s="169"/>
      <c r="M413" s="169"/>
      <c r="N413" s="169"/>
      <c r="O413" s="169"/>
      <c r="P413" s="169"/>
      <c r="Q413" s="169"/>
      <c r="R413" s="169"/>
      <c r="S413" s="169"/>
      <c r="T413" s="169"/>
      <c r="U413" s="169"/>
      <c r="V413" s="169"/>
      <c r="W413" s="169"/>
      <c r="X413" s="169"/>
      <c r="Y413" s="169"/>
      <c r="Z413" s="169"/>
      <c r="AA413" s="169"/>
      <c r="AB413" s="169"/>
      <c r="AC413" s="169"/>
    </row>
    <row r="414" spans="1:29" s="12" customFormat="1" hidden="1" x14ac:dyDescent="0.3">
      <c r="A414" s="169"/>
      <c r="B414" s="169"/>
      <c r="C414" s="169"/>
      <c r="D414" s="169"/>
      <c r="E414" s="169"/>
      <c r="F414" s="169"/>
      <c r="G414" s="169"/>
      <c r="H414" s="169"/>
      <c r="I414" s="169"/>
      <c r="J414" s="169"/>
      <c r="K414" s="169"/>
      <c r="L414" s="169"/>
      <c r="M414" s="169"/>
      <c r="N414" s="169"/>
      <c r="O414" s="169"/>
      <c r="P414" s="169"/>
      <c r="Q414" s="169"/>
      <c r="R414" s="169"/>
      <c r="S414" s="169"/>
      <c r="T414" s="169"/>
      <c r="U414" s="169"/>
      <c r="V414" s="169"/>
      <c r="W414" s="169"/>
      <c r="X414" s="169"/>
      <c r="Y414" s="169"/>
      <c r="Z414" s="169"/>
      <c r="AA414" s="169"/>
      <c r="AB414" s="169"/>
      <c r="AC414" s="169"/>
    </row>
    <row r="415" spans="1:29" s="12" customFormat="1" hidden="1" x14ac:dyDescent="0.3">
      <c r="A415" s="169"/>
      <c r="B415" s="169"/>
      <c r="C415" s="169"/>
      <c r="D415" s="169"/>
      <c r="E415" s="169"/>
      <c r="F415" s="169"/>
      <c r="G415" s="169"/>
      <c r="H415" s="169"/>
      <c r="I415" s="169"/>
      <c r="J415" s="169"/>
      <c r="K415" s="169"/>
      <c r="L415" s="169"/>
      <c r="M415" s="169"/>
      <c r="N415" s="169"/>
      <c r="O415" s="169"/>
      <c r="P415" s="169"/>
      <c r="Q415" s="169"/>
      <c r="R415" s="169"/>
      <c r="S415" s="169"/>
      <c r="T415" s="169"/>
      <c r="U415" s="169"/>
      <c r="V415" s="169"/>
      <c r="W415" s="169"/>
      <c r="X415" s="169"/>
      <c r="Y415" s="169"/>
      <c r="Z415" s="169"/>
      <c r="AA415" s="169"/>
      <c r="AB415" s="169"/>
      <c r="AC415" s="169"/>
    </row>
    <row r="416" spans="1:29" s="12" customFormat="1" hidden="1" x14ac:dyDescent="0.3">
      <c r="A416" s="169"/>
      <c r="B416" s="169"/>
      <c r="C416" s="169"/>
      <c r="D416" s="169"/>
      <c r="E416" s="169"/>
      <c r="F416" s="169"/>
      <c r="G416" s="169"/>
      <c r="H416" s="169"/>
      <c r="I416" s="169"/>
      <c r="J416" s="169"/>
      <c r="K416" s="169"/>
      <c r="L416" s="169"/>
      <c r="M416" s="169"/>
      <c r="N416" s="169"/>
      <c r="O416" s="169"/>
      <c r="P416" s="169"/>
      <c r="Q416" s="169"/>
      <c r="R416" s="169"/>
      <c r="S416" s="169"/>
      <c r="T416" s="169"/>
      <c r="U416" s="169"/>
      <c r="V416" s="169"/>
      <c r="W416" s="169"/>
      <c r="X416" s="169"/>
      <c r="Y416" s="169"/>
      <c r="Z416" s="169"/>
      <c r="AA416" s="169"/>
      <c r="AB416" s="169"/>
      <c r="AC416" s="169"/>
    </row>
    <row r="417" spans="1:29" s="12" customFormat="1" hidden="1" x14ac:dyDescent="0.3">
      <c r="A417" s="169"/>
      <c r="B417" s="169"/>
      <c r="C417" s="169"/>
      <c r="D417" s="169"/>
      <c r="E417" s="169"/>
      <c r="F417" s="169"/>
      <c r="G417" s="169"/>
      <c r="H417" s="169"/>
      <c r="I417" s="169"/>
      <c r="J417" s="169"/>
      <c r="K417" s="169"/>
      <c r="L417" s="169"/>
      <c r="M417" s="169"/>
      <c r="N417" s="169"/>
      <c r="O417" s="169"/>
      <c r="P417" s="169"/>
      <c r="Q417" s="169"/>
      <c r="R417" s="169"/>
      <c r="S417" s="169"/>
      <c r="T417" s="169"/>
      <c r="U417" s="169"/>
      <c r="V417" s="169"/>
      <c r="W417" s="169"/>
      <c r="X417" s="169"/>
      <c r="Y417" s="169"/>
      <c r="Z417" s="169"/>
      <c r="AA417" s="169"/>
      <c r="AB417" s="169"/>
      <c r="AC417" s="169"/>
    </row>
    <row r="418" spans="1:29" s="12" customFormat="1" hidden="1" x14ac:dyDescent="0.3">
      <c r="A418" s="169"/>
      <c r="B418" s="169"/>
      <c r="C418" s="169"/>
      <c r="D418" s="169"/>
      <c r="E418" s="169"/>
      <c r="F418" s="169"/>
      <c r="G418" s="169"/>
      <c r="H418" s="169"/>
      <c r="I418" s="169"/>
      <c r="J418" s="169"/>
      <c r="K418" s="169"/>
      <c r="L418" s="169"/>
      <c r="M418" s="169"/>
      <c r="N418" s="169"/>
      <c r="O418" s="169"/>
      <c r="P418" s="169"/>
      <c r="Q418" s="169"/>
      <c r="R418" s="169"/>
      <c r="S418" s="169"/>
      <c r="T418" s="169"/>
      <c r="U418" s="169"/>
      <c r="V418" s="169"/>
      <c r="W418" s="169"/>
      <c r="X418" s="169"/>
      <c r="Y418" s="169"/>
      <c r="Z418" s="169"/>
      <c r="AA418" s="169"/>
      <c r="AB418" s="169"/>
      <c r="AC418" s="169"/>
    </row>
    <row r="419" spans="1:29" s="12" customFormat="1" hidden="1" x14ac:dyDescent="0.3">
      <c r="A419" s="169"/>
      <c r="B419" s="169"/>
      <c r="C419" s="169"/>
      <c r="D419" s="169"/>
      <c r="E419" s="169"/>
      <c r="F419" s="169"/>
      <c r="G419" s="169"/>
      <c r="H419" s="169"/>
      <c r="I419" s="169"/>
      <c r="J419" s="169"/>
      <c r="K419" s="169"/>
      <c r="L419" s="169"/>
      <c r="M419" s="169"/>
      <c r="N419" s="169"/>
      <c r="O419" s="169"/>
      <c r="P419" s="169"/>
      <c r="Q419" s="169"/>
      <c r="R419" s="169"/>
      <c r="S419" s="169"/>
      <c r="T419" s="169"/>
      <c r="U419" s="169"/>
      <c r="V419" s="169"/>
      <c r="W419" s="169"/>
      <c r="X419" s="169"/>
      <c r="Y419" s="169"/>
      <c r="Z419" s="169"/>
      <c r="AA419" s="169"/>
      <c r="AB419" s="169"/>
      <c r="AC419" s="169"/>
    </row>
    <row r="420" spans="1:29" s="12" customFormat="1" hidden="1" x14ac:dyDescent="0.3">
      <c r="A420" s="169"/>
      <c r="B420" s="169"/>
      <c r="C420" s="169"/>
      <c r="D420" s="169"/>
      <c r="E420" s="169"/>
      <c r="F420" s="169"/>
      <c r="G420" s="169"/>
      <c r="H420" s="169"/>
      <c r="I420" s="169"/>
      <c r="J420" s="169"/>
      <c r="K420" s="169"/>
      <c r="L420" s="169"/>
      <c r="M420" s="169"/>
      <c r="N420" s="169"/>
      <c r="O420" s="169"/>
      <c r="P420" s="169"/>
      <c r="Q420" s="169"/>
      <c r="R420" s="169"/>
      <c r="S420" s="169"/>
      <c r="T420" s="169"/>
      <c r="U420" s="169"/>
      <c r="V420" s="169"/>
      <c r="W420" s="169"/>
      <c r="X420" s="169"/>
      <c r="Y420" s="169"/>
      <c r="Z420" s="169"/>
      <c r="AA420" s="169"/>
      <c r="AB420" s="169"/>
      <c r="AC420" s="169"/>
    </row>
    <row r="421" spans="1:29" s="12" customFormat="1" hidden="1" x14ac:dyDescent="0.3">
      <c r="A421" s="169"/>
      <c r="B421" s="169"/>
      <c r="C421" s="169"/>
      <c r="D421" s="169"/>
      <c r="E421" s="169"/>
      <c r="F421" s="169"/>
      <c r="G421" s="169"/>
      <c r="H421" s="169"/>
      <c r="I421" s="169"/>
      <c r="J421" s="169"/>
      <c r="K421" s="169"/>
      <c r="L421" s="169"/>
      <c r="M421" s="169"/>
      <c r="N421" s="169"/>
      <c r="O421" s="169"/>
      <c r="P421" s="169"/>
      <c r="Q421" s="169"/>
      <c r="R421" s="169"/>
      <c r="S421" s="169"/>
      <c r="T421" s="169"/>
      <c r="U421" s="169"/>
      <c r="V421" s="169"/>
      <c r="W421" s="169"/>
      <c r="X421" s="169"/>
      <c r="Y421" s="169"/>
      <c r="Z421" s="169"/>
      <c r="AA421" s="169"/>
      <c r="AB421" s="169"/>
      <c r="AC421" s="169"/>
    </row>
    <row r="422" spans="1:29" s="12" customFormat="1" hidden="1" x14ac:dyDescent="0.3">
      <c r="A422" s="169"/>
      <c r="B422" s="169"/>
      <c r="C422" s="169"/>
      <c r="D422" s="169"/>
      <c r="E422" s="169"/>
      <c r="F422" s="169"/>
      <c r="G422" s="169"/>
      <c r="H422" s="169"/>
      <c r="I422" s="169"/>
      <c r="J422" s="169"/>
      <c r="K422" s="169"/>
      <c r="L422" s="169"/>
      <c r="M422" s="169"/>
      <c r="N422" s="169"/>
      <c r="O422" s="169"/>
      <c r="P422" s="169"/>
      <c r="Q422" s="169"/>
      <c r="R422" s="169"/>
      <c r="S422" s="169"/>
      <c r="T422" s="169"/>
      <c r="U422" s="169"/>
      <c r="V422" s="169"/>
      <c r="W422" s="169"/>
      <c r="X422" s="169"/>
      <c r="Y422" s="169"/>
      <c r="Z422" s="169"/>
      <c r="AA422" s="169"/>
      <c r="AB422" s="169"/>
      <c r="AC422" s="169"/>
    </row>
    <row r="423" spans="1:29" s="12" customFormat="1" hidden="1" x14ac:dyDescent="0.3">
      <c r="A423" s="169"/>
      <c r="B423" s="169"/>
      <c r="C423" s="169"/>
      <c r="D423" s="169"/>
      <c r="E423" s="169"/>
      <c r="F423" s="169"/>
      <c r="G423" s="169"/>
      <c r="H423" s="169"/>
      <c r="I423" s="169"/>
      <c r="J423" s="169"/>
      <c r="K423" s="169"/>
      <c r="L423" s="169"/>
      <c r="M423" s="169"/>
      <c r="N423" s="169"/>
      <c r="O423" s="169"/>
      <c r="P423" s="169"/>
      <c r="Q423" s="169"/>
      <c r="R423" s="169"/>
      <c r="S423" s="169"/>
      <c r="T423" s="169"/>
      <c r="U423" s="169"/>
      <c r="V423" s="169"/>
      <c r="W423" s="169"/>
      <c r="X423" s="169"/>
      <c r="Y423" s="169"/>
      <c r="Z423" s="169"/>
      <c r="AA423" s="169"/>
      <c r="AB423" s="169"/>
      <c r="AC423" s="169"/>
    </row>
    <row r="424" spans="1:29" s="12" customFormat="1" hidden="1" x14ac:dyDescent="0.3">
      <c r="A424" s="169"/>
      <c r="B424" s="169"/>
      <c r="C424" s="169"/>
      <c r="D424" s="169"/>
      <c r="E424" s="169"/>
      <c r="F424" s="169"/>
      <c r="G424" s="169"/>
      <c r="H424" s="169"/>
      <c r="I424" s="169"/>
      <c r="J424" s="169"/>
      <c r="K424" s="169"/>
      <c r="L424" s="169"/>
      <c r="M424" s="169"/>
      <c r="N424" s="169"/>
      <c r="O424" s="169"/>
      <c r="P424" s="169"/>
      <c r="Q424" s="169"/>
      <c r="R424" s="169"/>
      <c r="S424" s="169"/>
      <c r="T424" s="169"/>
      <c r="U424" s="169"/>
      <c r="V424" s="169"/>
      <c r="W424" s="169"/>
      <c r="X424" s="169"/>
      <c r="Y424" s="169"/>
      <c r="Z424" s="169"/>
      <c r="AA424" s="169"/>
      <c r="AB424" s="169"/>
      <c r="AC424" s="169"/>
    </row>
    <row r="425" spans="1:29" s="12" customFormat="1" hidden="1" x14ac:dyDescent="0.3">
      <c r="A425" s="169"/>
      <c r="B425" s="169"/>
      <c r="C425" s="169"/>
      <c r="D425" s="169"/>
      <c r="E425" s="169"/>
      <c r="F425" s="169"/>
      <c r="G425" s="169"/>
      <c r="H425" s="169"/>
      <c r="I425" s="169"/>
      <c r="J425" s="169"/>
      <c r="K425" s="169"/>
      <c r="L425" s="169"/>
      <c r="M425" s="169"/>
      <c r="N425" s="169"/>
      <c r="O425" s="169"/>
      <c r="P425" s="169"/>
      <c r="Q425" s="169"/>
      <c r="R425" s="169"/>
      <c r="S425" s="169"/>
      <c r="T425" s="169"/>
      <c r="U425" s="169"/>
      <c r="V425" s="169"/>
      <c r="W425" s="169"/>
      <c r="X425" s="169"/>
      <c r="Y425" s="169"/>
      <c r="Z425" s="169"/>
      <c r="AA425" s="169"/>
      <c r="AB425" s="169"/>
      <c r="AC425" s="169"/>
    </row>
    <row r="426" spans="1:29" s="12" customFormat="1" hidden="1" x14ac:dyDescent="0.3">
      <c r="A426" s="169"/>
      <c r="B426" s="169"/>
      <c r="C426" s="169"/>
      <c r="D426" s="169"/>
      <c r="E426" s="169"/>
      <c r="F426" s="169"/>
      <c r="G426" s="169"/>
      <c r="H426" s="169"/>
      <c r="I426" s="169"/>
      <c r="J426" s="169"/>
      <c r="K426" s="169"/>
      <c r="L426" s="169"/>
      <c r="M426" s="169"/>
      <c r="N426" s="169"/>
      <c r="O426" s="169"/>
      <c r="P426" s="169"/>
      <c r="Q426" s="169"/>
      <c r="R426" s="169"/>
      <c r="S426" s="169"/>
      <c r="T426" s="169"/>
      <c r="U426" s="169"/>
      <c r="V426" s="169"/>
      <c r="W426" s="169"/>
      <c r="X426" s="169"/>
      <c r="Y426" s="169"/>
      <c r="Z426" s="169"/>
      <c r="AA426" s="169"/>
      <c r="AB426" s="169"/>
      <c r="AC426" s="169"/>
    </row>
    <row r="427" spans="1:29" s="12" customFormat="1" hidden="1" x14ac:dyDescent="0.3">
      <c r="A427" s="169"/>
      <c r="B427" s="169"/>
      <c r="C427" s="169"/>
      <c r="D427" s="169"/>
      <c r="E427" s="169"/>
      <c r="F427" s="169"/>
      <c r="G427" s="169"/>
      <c r="H427" s="169"/>
      <c r="I427" s="169"/>
      <c r="J427" s="169"/>
      <c r="K427" s="169"/>
      <c r="L427" s="169"/>
      <c r="M427" s="169"/>
      <c r="N427" s="169"/>
      <c r="O427" s="169"/>
      <c r="P427" s="169"/>
      <c r="Q427" s="169"/>
      <c r="R427" s="169"/>
      <c r="S427" s="169"/>
      <c r="T427" s="169"/>
      <c r="U427" s="169"/>
      <c r="V427" s="169"/>
      <c r="W427" s="169"/>
      <c r="X427" s="169"/>
      <c r="Y427" s="169"/>
      <c r="Z427" s="169"/>
      <c r="AA427" s="169"/>
      <c r="AB427" s="169"/>
      <c r="AC427" s="169"/>
    </row>
    <row r="428" spans="1:29" s="12" customFormat="1" hidden="1" x14ac:dyDescent="0.3">
      <c r="A428" s="169"/>
      <c r="B428" s="169"/>
      <c r="C428" s="169"/>
      <c r="D428" s="169"/>
      <c r="E428" s="169"/>
      <c r="F428" s="169"/>
      <c r="G428" s="169"/>
      <c r="H428" s="169"/>
      <c r="I428" s="169"/>
      <c r="J428" s="169"/>
      <c r="K428" s="169"/>
      <c r="L428" s="169"/>
      <c r="M428" s="169"/>
      <c r="N428" s="169"/>
      <c r="O428" s="169"/>
      <c r="P428" s="169"/>
      <c r="Q428" s="169"/>
      <c r="R428" s="169"/>
      <c r="S428" s="169"/>
      <c r="T428" s="169"/>
      <c r="U428" s="169"/>
      <c r="V428" s="169"/>
      <c r="W428" s="169"/>
      <c r="X428" s="169"/>
      <c r="Y428" s="169"/>
      <c r="Z428" s="169"/>
      <c r="AA428" s="169"/>
      <c r="AB428" s="169"/>
      <c r="AC428" s="169"/>
    </row>
    <row r="429" spans="1:29" s="12" customFormat="1" hidden="1" x14ac:dyDescent="0.3">
      <c r="A429" s="169"/>
      <c r="B429" s="169"/>
      <c r="C429" s="169"/>
      <c r="D429" s="169"/>
      <c r="E429" s="169"/>
      <c r="F429" s="169"/>
      <c r="G429" s="169"/>
      <c r="H429" s="169"/>
      <c r="I429" s="169"/>
      <c r="J429" s="169"/>
      <c r="K429" s="169"/>
      <c r="L429" s="169"/>
      <c r="M429" s="169"/>
      <c r="N429" s="169"/>
      <c r="O429" s="169"/>
      <c r="P429" s="169"/>
      <c r="Q429" s="169"/>
      <c r="R429" s="169"/>
      <c r="S429" s="169"/>
      <c r="T429" s="169"/>
      <c r="U429" s="169"/>
      <c r="V429" s="169"/>
      <c r="W429" s="169"/>
      <c r="X429" s="169"/>
      <c r="Y429" s="169"/>
      <c r="Z429" s="169"/>
      <c r="AA429" s="169"/>
      <c r="AB429" s="169"/>
      <c r="AC429" s="169"/>
    </row>
    <row r="430" spans="1:29" s="12" customFormat="1" hidden="1" x14ac:dyDescent="0.3">
      <c r="A430" s="169"/>
      <c r="B430" s="169"/>
      <c r="C430" s="169"/>
      <c r="D430" s="169"/>
      <c r="E430" s="169"/>
      <c r="F430" s="169"/>
      <c r="G430" s="169"/>
      <c r="H430" s="169"/>
      <c r="I430" s="169"/>
      <c r="J430" s="169"/>
      <c r="K430" s="169"/>
      <c r="L430" s="169"/>
      <c r="M430" s="169"/>
      <c r="N430" s="169"/>
      <c r="O430" s="169"/>
      <c r="P430" s="169"/>
      <c r="Q430" s="169"/>
      <c r="R430" s="169"/>
      <c r="S430" s="169"/>
      <c r="T430" s="169"/>
      <c r="U430" s="169"/>
      <c r="V430" s="169"/>
      <c r="W430" s="169"/>
      <c r="X430" s="169"/>
      <c r="Y430" s="169"/>
      <c r="Z430" s="169"/>
      <c r="AA430" s="169"/>
      <c r="AB430" s="169"/>
      <c r="AC430" s="169"/>
    </row>
    <row r="431" spans="1:29" s="12" customFormat="1" hidden="1" x14ac:dyDescent="0.3">
      <c r="A431" s="169"/>
      <c r="B431" s="169"/>
      <c r="C431" s="169"/>
      <c r="D431" s="169"/>
      <c r="E431" s="169"/>
      <c r="F431" s="169"/>
      <c r="G431" s="169"/>
      <c r="H431" s="169"/>
      <c r="I431" s="169"/>
      <c r="J431" s="169"/>
      <c r="K431" s="169"/>
      <c r="L431" s="169"/>
      <c r="M431" s="169"/>
      <c r="N431" s="169"/>
      <c r="O431" s="169"/>
      <c r="P431" s="169"/>
      <c r="Q431" s="169"/>
      <c r="R431" s="169"/>
      <c r="S431" s="169"/>
      <c r="T431" s="169"/>
      <c r="U431" s="169"/>
      <c r="V431" s="169"/>
      <c r="W431" s="169"/>
      <c r="X431" s="169"/>
      <c r="Y431" s="169"/>
      <c r="Z431" s="169"/>
      <c r="AA431" s="169"/>
      <c r="AB431" s="169"/>
      <c r="AC431" s="169"/>
    </row>
    <row r="432" spans="1:29" s="12" customFormat="1" hidden="1" x14ac:dyDescent="0.3">
      <c r="A432" s="169"/>
      <c r="B432" s="169"/>
      <c r="C432" s="169"/>
      <c r="D432" s="169"/>
      <c r="E432" s="169"/>
      <c r="F432" s="169"/>
      <c r="G432" s="169"/>
      <c r="H432" s="169"/>
      <c r="I432" s="169"/>
      <c r="J432" s="169"/>
      <c r="K432" s="169"/>
      <c r="L432" s="169"/>
      <c r="M432" s="169"/>
      <c r="N432" s="169"/>
      <c r="O432" s="169"/>
      <c r="P432" s="169"/>
      <c r="Q432" s="169"/>
      <c r="R432" s="169"/>
      <c r="S432" s="169"/>
      <c r="T432" s="169"/>
      <c r="U432" s="169"/>
      <c r="V432" s="169"/>
      <c r="W432" s="169"/>
      <c r="X432" s="169"/>
      <c r="Y432" s="169"/>
      <c r="Z432" s="169"/>
      <c r="AA432" s="169"/>
      <c r="AB432" s="169"/>
      <c r="AC432" s="169"/>
    </row>
    <row r="433" spans="1:29" s="12" customFormat="1" hidden="1" x14ac:dyDescent="0.3">
      <c r="A433" s="169"/>
      <c r="B433" s="169"/>
      <c r="C433" s="169"/>
      <c r="D433" s="169"/>
      <c r="E433" s="169"/>
      <c r="F433" s="169"/>
      <c r="G433" s="169"/>
      <c r="H433" s="169"/>
      <c r="I433" s="169"/>
      <c r="J433" s="169"/>
      <c r="K433" s="169"/>
      <c r="L433" s="169"/>
      <c r="M433" s="169"/>
      <c r="N433" s="169"/>
      <c r="O433" s="169"/>
      <c r="P433" s="169"/>
      <c r="Q433" s="169"/>
      <c r="R433" s="169"/>
      <c r="S433" s="169"/>
      <c r="T433" s="169"/>
      <c r="U433" s="169"/>
      <c r="V433" s="169"/>
      <c r="W433" s="169"/>
      <c r="X433" s="169"/>
      <c r="Y433" s="169"/>
      <c r="Z433" s="169"/>
      <c r="AA433" s="169"/>
      <c r="AB433" s="169"/>
      <c r="AC433" s="169"/>
    </row>
    <row r="434" spans="1:29" s="12" customFormat="1" hidden="1" x14ac:dyDescent="0.3">
      <c r="A434" s="169"/>
      <c r="B434" s="169"/>
      <c r="C434" s="169"/>
      <c r="D434" s="169"/>
      <c r="E434" s="169"/>
      <c r="F434" s="169"/>
      <c r="G434" s="169"/>
      <c r="H434" s="169"/>
      <c r="I434" s="169"/>
      <c r="J434" s="169"/>
      <c r="K434" s="169"/>
      <c r="L434" s="169"/>
      <c r="M434" s="169"/>
      <c r="N434" s="169"/>
      <c r="O434" s="169"/>
      <c r="P434" s="169"/>
      <c r="Q434" s="169"/>
      <c r="R434" s="169"/>
      <c r="S434" s="169"/>
      <c r="T434" s="169"/>
      <c r="U434" s="169"/>
      <c r="V434" s="169"/>
      <c r="W434" s="169"/>
      <c r="X434" s="169"/>
      <c r="Y434" s="169"/>
      <c r="Z434" s="169"/>
      <c r="AA434" s="169"/>
      <c r="AB434" s="169"/>
      <c r="AC434" s="169"/>
    </row>
    <row r="435" spans="1:29" s="12" customFormat="1" hidden="1" x14ac:dyDescent="0.3">
      <c r="A435" s="169"/>
      <c r="B435" s="169"/>
      <c r="C435" s="169"/>
      <c r="D435" s="169"/>
      <c r="E435" s="169"/>
      <c r="F435" s="169"/>
      <c r="G435" s="169"/>
      <c r="H435" s="169"/>
      <c r="I435" s="169"/>
      <c r="J435" s="169"/>
      <c r="K435" s="169"/>
      <c r="L435" s="169"/>
      <c r="M435" s="169"/>
      <c r="N435" s="169"/>
      <c r="O435" s="169"/>
      <c r="P435" s="169"/>
      <c r="Q435" s="169"/>
      <c r="R435" s="169"/>
      <c r="S435" s="169"/>
      <c r="T435" s="169"/>
      <c r="U435" s="169"/>
      <c r="V435" s="169"/>
      <c r="W435" s="169"/>
      <c r="X435" s="169"/>
      <c r="Y435" s="169"/>
      <c r="Z435" s="169"/>
      <c r="AA435" s="169"/>
      <c r="AB435" s="169"/>
      <c r="AC435" s="169"/>
    </row>
    <row r="436" spans="1:29" s="12" customFormat="1" hidden="1" x14ac:dyDescent="0.3">
      <c r="A436" s="169"/>
      <c r="B436" s="169"/>
      <c r="C436" s="169"/>
      <c r="D436" s="169"/>
      <c r="E436" s="169"/>
      <c r="F436" s="169"/>
      <c r="G436" s="169"/>
      <c r="H436" s="169"/>
      <c r="I436" s="169"/>
      <c r="J436" s="169"/>
      <c r="K436" s="169"/>
      <c r="L436" s="169"/>
      <c r="M436" s="169"/>
      <c r="N436" s="169"/>
      <c r="O436" s="169"/>
      <c r="P436" s="169"/>
      <c r="Q436" s="169"/>
      <c r="R436" s="169"/>
      <c r="S436" s="169"/>
      <c r="T436" s="169"/>
      <c r="U436" s="169"/>
      <c r="V436" s="169"/>
      <c r="W436" s="169"/>
      <c r="X436" s="169"/>
      <c r="Y436" s="169"/>
      <c r="Z436" s="169"/>
      <c r="AA436" s="169"/>
      <c r="AB436" s="169"/>
      <c r="AC436" s="169"/>
    </row>
    <row r="437" spans="1:29" s="12" customFormat="1" hidden="1" x14ac:dyDescent="0.3">
      <c r="A437" s="169"/>
      <c r="B437" s="169"/>
      <c r="C437" s="169"/>
      <c r="D437" s="169"/>
      <c r="E437" s="169"/>
      <c r="F437" s="169"/>
      <c r="G437" s="169"/>
      <c r="H437" s="169"/>
      <c r="I437" s="169"/>
      <c r="J437" s="169"/>
      <c r="K437" s="169"/>
      <c r="L437" s="169"/>
      <c r="M437" s="169"/>
      <c r="N437" s="169"/>
      <c r="O437" s="169"/>
      <c r="P437" s="169"/>
      <c r="Q437" s="169"/>
      <c r="R437" s="169"/>
      <c r="S437" s="169"/>
      <c r="T437" s="169"/>
      <c r="U437" s="169"/>
      <c r="V437" s="169"/>
      <c r="W437" s="169"/>
      <c r="X437" s="169"/>
      <c r="Y437" s="169"/>
      <c r="Z437" s="169"/>
      <c r="AA437" s="169"/>
      <c r="AB437" s="169"/>
      <c r="AC437" s="169"/>
    </row>
    <row r="438" spans="1:29" s="12" customFormat="1" hidden="1" x14ac:dyDescent="0.3">
      <c r="A438" s="169"/>
      <c r="B438" s="169"/>
      <c r="C438" s="169"/>
      <c r="D438" s="169"/>
      <c r="E438" s="169"/>
      <c r="F438" s="169"/>
      <c r="G438" s="169"/>
      <c r="H438" s="169"/>
      <c r="I438" s="169"/>
      <c r="J438" s="169"/>
      <c r="K438" s="169"/>
      <c r="L438" s="169"/>
      <c r="M438" s="169"/>
      <c r="N438" s="169"/>
      <c r="O438" s="169"/>
      <c r="P438" s="169"/>
      <c r="Q438" s="169"/>
      <c r="R438" s="169"/>
      <c r="S438" s="169"/>
      <c r="T438" s="169"/>
      <c r="U438" s="169"/>
      <c r="V438" s="169"/>
      <c r="W438" s="169"/>
      <c r="X438" s="169"/>
      <c r="Y438" s="169"/>
      <c r="Z438" s="169"/>
      <c r="AA438" s="169"/>
      <c r="AB438" s="169"/>
      <c r="AC438" s="169"/>
    </row>
    <row r="439" spans="1:29" s="12" customFormat="1" hidden="1" x14ac:dyDescent="0.3">
      <c r="A439" s="169"/>
      <c r="B439" s="169"/>
      <c r="C439" s="169"/>
      <c r="D439" s="169"/>
      <c r="E439" s="169"/>
      <c r="F439" s="169"/>
      <c r="G439" s="169"/>
      <c r="H439" s="169"/>
      <c r="I439" s="169"/>
      <c r="J439" s="169"/>
      <c r="K439" s="169"/>
      <c r="L439" s="169"/>
      <c r="M439" s="169"/>
      <c r="N439" s="169"/>
      <c r="O439" s="169"/>
      <c r="P439" s="169"/>
      <c r="Q439" s="169"/>
      <c r="R439" s="169"/>
      <c r="S439" s="169"/>
      <c r="T439" s="169"/>
      <c r="U439" s="169"/>
      <c r="V439" s="169"/>
      <c r="W439" s="169"/>
      <c r="X439" s="169"/>
      <c r="Y439" s="169"/>
      <c r="Z439" s="169"/>
      <c r="AA439" s="169"/>
      <c r="AB439" s="169"/>
      <c r="AC439" s="169"/>
    </row>
    <row r="440" spans="1:29" s="12" customFormat="1" hidden="1" x14ac:dyDescent="0.3">
      <c r="A440" s="169"/>
      <c r="B440" s="169"/>
      <c r="C440" s="169"/>
      <c r="D440" s="169"/>
      <c r="E440" s="169"/>
      <c r="F440" s="169"/>
      <c r="G440" s="169"/>
      <c r="H440" s="169"/>
      <c r="I440" s="169"/>
      <c r="J440" s="169"/>
      <c r="K440" s="169"/>
      <c r="L440" s="169"/>
      <c r="M440" s="169"/>
      <c r="N440" s="169"/>
      <c r="O440" s="169"/>
      <c r="P440" s="169"/>
      <c r="Q440" s="169"/>
      <c r="R440" s="169"/>
      <c r="S440" s="169"/>
      <c r="T440" s="169"/>
      <c r="U440" s="169"/>
      <c r="V440" s="169"/>
      <c r="W440" s="169"/>
      <c r="X440" s="169"/>
      <c r="Y440" s="169"/>
      <c r="Z440" s="169"/>
      <c r="AA440" s="169"/>
      <c r="AB440" s="169"/>
      <c r="AC440" s="169"/>
    </row>
    <row r="441" spans="1:29" s="12" customFormat="1" hidden="1" x14ac:dyDescent="0.3">
      <c r="A441" s="169"/>
      <c r="B441" s="169"/>
      <c r="C441" s="169"/>
      <c r="D441" s="169"/>
      <c r="E441" s="169"/>
      <c r="F441" s="169"/>
      <c r="G441" s="169"/>
      <c r="H441" s="169"/>
      <c r="I441" s="169"/>
      <c r="J441" s="169"/>
      <c r="K441" s="169"/>
      <c r="L441" s="169"/>
      <c r="M441" s="169"/>
      <c r="N441" s="169"/>
      <c r="O441" s="169"/>
      <c r="P441" s="169"/>
      <c r="Q441" s="169"/>
      <c r="R441" s="169"/>
      <c r="S441" s="169"/>
      <c r="T441" s="169"/>
      <c r="U441" s="169"/>
      <c r="V441" s="169"/>
      <c r="W441" s="169"/>
      <c r="X441" s="169"/>
      <c r="Y441" s="169"/>
      <c r="Z441" s="169"/>
      <c r="AA441" s="169"/>
      <c r="AB441" s="169"/>
      <c r="AC441" s="169"/>
    </row>
    <row r="442" spans="1:29" s="12" customFormat="1" hidden="1" x14ac:dyDescent="0.3">
      <c r="A442" s="169"/>
      <c r="B442" s="169"/>
      <c r="C442" s="169"/>
      <c r="D442" s="169"/>
      <c r="E442" s="169"/>
      <c r="F442" s="169"/>
      <c r="G442" s="169"/>
      <c r="H442" s="169"/>
      <c r="I442" s="169"/>
      <c r="J442" s="169"/>
      <c r="K442" s="169"/>
      <c r="L442" s="169"/>
      <c r="M442" s="169"/>
      <c r="N442" s="169"/>
      <c r="O442" s="169"/>
      <c r="P442" s="169"/>
      <c r="Q442" s="169"/>
      <c r="R442" s="169"/>
      <c r="S442" s="169"/>
      <c r="T442" s="169"/>
      <c r="U442" s="169"/>
      <c r="V442" s="169"/>
      <c r="W442" s="169"/>
      <c r="X442" s="169"/>
      <c r="Y442" s="169"/>
      <c r="Z442" s="169"/>
      <c r="AA442" s="169"/>
      <c r="AB442" s="169"/>
      <c r="AC442" s="169"/>
    </row>
    <row r="443" spans="1:29" s="12" customFormat="1" hidden="1" x14ac:dyDescent="0.3">
      <c r="A443" s="169"/>
      <c r="B443" s="169"/>
      <c r="C443" s="169"/>
      <c r="D443" s="169"/>
      <c r="E443" s="169"/>
      <c r="F443" s="169"/>
      <c r="G443" s="169"/>
      <c r="H443" s="169"/>
      <c r="I443" s="169"/>
      <c r="J443" s="169"/>
      <c r="K443" s="169"/>
      <c r="L443" s="169"/>
      <c r="M443" s="169"/>
      <c r="N443" s="169"/>
      <c r="O443" s="169"/>
      <c r="P443" s="169"/>
      <c r="Q443" s="169"/>
      <c r="R443" s="169"/>
      <c r="S443" s="169"/>
      <c r="T443" s="169"/>
      <c r="U443" s="169"/>
      <c r="V443" s="169"/>
      <c r="W443" s="169"/>
      <c r="X443" s="169"/>
      <c r="Y443" s="169"/>
      <c r="Z443" s="169"/>
      <c r="AA443" s="169"/>
      <c r="AB443" s="169"/>
      <c r="AC443" s="169"/>
    </row>
    <row r="444" spans="1:29" s="12" customFormat="1" hidden="1" x14ac:dyDescent="0.3">
      <c r="A444" s="169"/>
      <c r="B444" s="169"/>
      <c r="C444" s="169"/>
      <c r="D444" s="169"/>
      <c r="E444" s="169"/>
      <c r="F444" s="169"/>
      <c r="G444" s="169"/>
      <c r="H444" s="169"/>
      <c r="I444" s="169"/>
      <c r="J444" s="169"/>
      <c r="K444" s="169"/>
      <c r="L444" s="169"/>
      <c r="M444" s="169"/>
      <c r="N444" s="169"/>
      <c r="O444" s="169"/>
      <c r="P444" s="169"/>
      <c r="Q444" s="169"/>
      <c r="R444" s="169"/>
      <c r="S444" s="169"/>
      <c r="T444" s="169"/>
      <c r="U444" s="169"/>
      <c r="V444" s="169"/>
      <c r="W444" s="169"/>
      <c r="X444" s="169"/>
      <c r="Y444" s="169"/>
      <c r="Z444" s="169"/>
      <c r="AA444" s="169"/>
      <c r="AB444" s="169"/>
      <c r="AC444" s="169"/>
    </row>
    <row r="445" spans="1:29" s="12" customFormat="1" hidden="1" x14ac:dyDescent="0.3">
      <c r="A445" s="169"/>
      <c r="B445" s="169"/>
      <c r="C445" s="169"/>
      <c r="D445" s="169"/>
      <c r="E445" s="169"/>
      <c r="F445" s="169"/>
      <c r="G445" s="169"/>
      <c r="H445" s="169"/>
      <c r="I445" s="169"/>
      <c r="J445" s="169"/>
      <c r="K445" s="169"/>
      <c r="L445" s="169"/>
      <c r="M445" s="169"/>
      <c r="N445" s="169"/>
      <c r="O445" s="169"/>
      <c r="P445" s="169"/>
      <c r="Q445" s="169"/>
      <c r="R445" s="169"/>
      <c r="S445" s="169"/>
      <c r="T445" s="169"/>
      <c r="U445" s="169"/>
      <c r="V445" s="169"/>
      <c r="W445" s="169"/>
      <c r="X445" s="169"/>
      <c r="Y445" s="169"/>
      <c r="Z445" s="169"/>
      <c r="AA445" s="169"/>
      <c r="AB445" s="169"/>
      <c r="AC445" s="169"/>
    </row>
    <row r="446" spans="1:29" s="12" customFormat="1" hidden="1" x14ac:dyDescent="0.3">
      <c r="A446" s="169"/>
      <c r="B446" s="169"/>
      <c r="C446" s="169"/>
      <c r="D446" s="169"/>
      <c r="E446" s="169"/>
      <c r="F446" s="169"/>
      <c r="G446" s="169"/>
      <c r="H446" s="169"/>
      <c r="I446" s="169"/>
      <c r="J446" s="169"/>
      <c r="K446" s="169"/>
      <c r="L446" s="169"/>
      <c r="M446" s="169"/>
      <c r="N446" s="169"/>
      <c r="O446" s="169"/>
      <c r="P446" s="169"/>
      <c r="Q446" s="169"/>
      <c r="R446" s="169"/>
      <c r="S446" s="169"/>
      <c r="T446" s="169"/>
      <c r="U446" s="169"/>
      <c r="V446" s="169"/>
      <c r="W446" s="169"/>
      <c r="X446" s="169"/>
      <c r="Y446" s="169"/>
      <c r="Z446" s="169"/>
      <c r="AA446" s="169"/>
      <c r="AB446" s="169"/>
      <c r="AC446" s="169"/>
    </row>
    <row r="447" spans="1:29" s="12" customFormat="1" hidden="1" x14ac:dyDescent="0.3">
      <c r="A447" s="169"/>
      <c r="B447" s="169"/>
      <c r="C447" s="169"/>
      <c r="D447" s="169"/>
      <c r="E447" s="169"/>
      <c r="F447" s="169"/>
      <c r="G447" s="169"/>
      <c r="H447" s="169"/>
      <c r="I447" s="169"/>
      <c r="J447" s="169"/>
      <c r="K447" s="169"/>
      <c r="L447" s="169"/>
      <c r="M447" s="169"/>
      <c r="N447" s="169"/>
      <c r="O447" s="169"/>
      <c r="P447" s="169"/>
      <c r="Q447" s="169"/>
      <c r="R447" s="169"/>
      <c r="S447" s="169"/>
      <c r="T447" s="169"/>
      <c r="U447" s="169"/>
      <c r="V447" s="169"/>
      <c r="W447" s="169"/>
      <c r="X447" s="169"/>
      <c r="Y447" s="169"/>
      <c r="Z447" s="169"/>
      <c r="AA447" s="169"/>
      <c r="AB447" s="169"/>
      <c r="AC447" s="169"/>
    </row>
    <row r="448" spans="1:29" s="12" customFormat="1" hidden="1" x14ac:dyDescent="0.3">
      <c r="A448" s="169"/>
      <c r="B448" s="169"/>
      <c r="C448" s="169"/>
      <c r="D448" s="169"/>
      <c r="E448" s="169"/>
      <c r="F448" s="169"/>
      <c r="G448" s="169"/>
      <c r="H448" s="169"/>
      <c r="I448" s="169"/>
      <c r="J448" s="169"/>
      <c r="K448" s="169"/>
      <c r="L448" s="169"/>
      <c r="M448" s="169"/>
      <c r="N448" s="169"/>
      <c r="O448" s="169"/>
      <c r="P448" s="169"/>
      <c r="Q448" s="169"/>
      <c r="R448" s="169"/>
      <c r="S448" s="169"/>
      <c r="T448" s="169"/>
      <c r="U448" s="169"/>
      <c r="V448" s="169"/>
      <c r="W448" s="169"/>
      <c r="X448" s="169"/>
      <c r="Y448" s="169"/>
      <c r="Z448" s="169"/>
      <c r="AA448" s="169"/>
      <c r="AB448" s="169"/>
      <c r="AC448" s="169"/>
    </row>
    <row r="449" spans="1:29" s="12" customFormat="1" hidden="1" x14ac:dyDescent="0.3">
      <c r="A449" s="169"/>
      <c r="B449" s="169"/>
      <c r="C449" s="169"/>
      <c r="D449" s="169"/>
      <c r="E449" s="169"/>
      <c r="F449" s="169"/>
      <c r="G449" s="169"/>
      <c r="H449" s="169"/>
      <c r="I449" s="169"/>
      <c r="J449" s="169"/>
      <c r="K449" s="169"/>
      <c r="L449" s="169"/>
      <c r="M449" s="169"/>
      <c r="N449" s="169"/>
      <c r="O449" s="169"/>
      <c r="P449" s="169"/>
      <c r="Q449" s="169"/>
      <c r="R449" s="169"/>
      <c r="S449" s="169"/>
      <c r="T449" s="169"/>
      <c r="U449" s="169"/>
      <c r="V449" s="169"/>
      <c r="W449" s="169"/>
      <c r="X449" s="169"/>
      <c r="Y449" s="169"/>
      <c r="Z449" s="169"/>
      <c r="AA449" s="169"/>
      <c r="AB449" s="169"/>
      <c r="AC449" s="169"/>
    </row>
    <row r="450" spans="1:29" s="12" customFormat="1" hidden="1" x14ac:dyDescent="0.3">
      <c r="A450" s="169"/>
      <c r="B450" s="169"/>
      <c r="C450" s="169"/>
      <c r="D450" s="169"/>
      <c r="E450" s="169"/>
      <c r="F450" s="169"/>
      <c r="G450" s="169"/>
      <c r="H450" s="169"/>
      <c r="I450" s="169"/>
      <c r="J450" s="169"/>
      <c r="K450" s="169"/>
      <c r="L450" s="169"/>
      <c r="M450" s="169"/>
      <c r="N450" s="169"/>
      <c r="O450" s="169"/>
      <c r="P450" s="169"/>
      <c r="Q450" s="169"/>
      <c r="R450" s="169"/>
      <c r="S450" s="169"/>
      <c r="T450" s="169"/>
      <c r="U450" s="169"/>
      <c r="V450" s="169"/>
      <c r="W450" s="169"/>
      <c r="X450" s="169"/>
      <c r="Y450" s="169"/>
      <c r="Z450" s="169"/>
      <c r="AA450" s="169"/>
      <c r="AB450" s="169"/>
      <c r="AC450" s="169"/>
    </row>
    <row r="451" spans="1:29" s="12" customFormat="1" hidden="1" x14ac:dyDescent="0.3">
      <c r="A451" s="169"/>
      <c r="B451" s="169"/>
      <c r="C451" s="169"/>
      <c r="D451" s="169"/>
      <c r="E451" s="169"/>
      <c r="F451" s="169"/>
      <c r="G451" s="169"/>
      <c r="H451" s="169"/>
      <c r="I451" s="169"/>
      <c r="J451" s="169"/>
      <c r="K451" s="169"/>
      <c r="L451" s="169"/>
      <c r="M451" s="169"/>
      <c r="N451" s="169"/>
      <c r="O451" s="169"/>
      <c r="P451" s="169"/>
      <c r="Q451" s="169"/>
      <c r="R451" s="169"/>
      <c r="S451" s="169"/>
      <c r="T451" s="169"/>
      <c r="U451" s="169"/>
      <c r="V451" s="169"/>
      <c r="W451" s="169"/>
      <c r="X451" s="169"/>
      <c r="Y451" s="169"/>
      <c r="Z451" s="169"/>
      <c r="AA451" s="169"/>
      <c r="AB451" s="169"/>
      <c r="AC451" s="169"/>
    </row>
    <row r="452" spans="1:29" s="12" customFormat="1" hidden="1" x14ac:dyDescent="0.3">
      <c r="A452" s="169"/>
      <c r="B452" s="169"/>
      <c r="C452" s="169"/>
      <c r="D452" s="169"/>
      <c r="E452" s="169"/>
      <c r="F452" s="169"/>
      <c r="G452" s="169"/>
      <c r="H452" s="169"/>
      <c r="I452" s="169"/>
      <c r="J452" s="169"/>
      <c r="K452" s="169"/>
      <c r="L452" s="169"/>
      <c r="M452" s="169"/>
      <c r="N452" s="169"/>
      <c r="O452" s="169"/>
      <c r="P452" s="169"/>
      <c r="Q452" s="169"/>
      <c r="R452" s="169"/>
      <c r="S452" s="169"/>
      <c r="T452" s="169"/>
      <c r="U452" s="169"/>
      <c r="V452" s="169"/>
      <c r="W452" s="169"/>
      <c r="X452" s="169"/>
      <c r="Y452" s="169"/>
      <c r="Z452" s="169"/>
      <c r="AA452" s="169"/>
      <c r="AB452" s="169"/>
      <c r="AC452" s="169"/>
    </row>
    <row r="453" spans="1:29" s="12" customFormat="1" hidden="1" x14ac:dyDescent="0.3">
      <c r="A453" s="169"/>
      <c r="B453" s="169"/>
      <c r="C453" s="169"/>
      <c r="D453" s="169"/>
      <c r="E453" s="169"/>
      <c r="F453" s="169"/>
      <c r="G453" s="169"/>
      <c r="H453" s="169"/>
      <c r="I453" s="169"/>
      <c r="J453" s="169"/>
      <c r="K453" s="169"/>
      <c r="L453" s="169"/>
      <c r="M453" s="169"/>
      <c r="N453" s="169"/>
      <c r="O453" s="169"/>
      <c r="P453" s="169"/>
      <c r="Q453" s="169"/>
      <c r="R453" s="169"/>
      <c r="S453" s="169"/>
      <c r="T453" s="169"/>
      <c r="U453" s="169"/>
      <c r="V453" s="169"/>
      <c r="W453" s="169"/>
      <c r="X453" s="169"/>
      <c r="Y453" s="169"/>
      <c r="Z453" s="169"/>
      <c r="AA453" s="169"/>
      <c r="AB453" s="169"/>
      <c r="AC453" s="169"/>
    </row>
    <row r="454" spans="1:29" ht="14.4" customHeight="1" x14ac:dyDescent="0.3">
      <c r="A454" s="178"/>
      <c r="B454" s="178"/>
      <c r="C454" s="178"/>
      <c r="D454" s="178"/>
      <c r="E454" s="178"/>
      <c r="F454" s="178"/>
      <c r="G454" s="178"/>
      <c r="H454" s="178"/>
      <c r="I454" s="178"/>
      <c r="J454" s="178"/>
      <c r="K454" s="178"/>
      <c r="L454" s="178"/>
      <c r="M454" s="178"/>
      <c r="N454" s="178"/>
      <c r="O454" s="178"/>
      <c r="P454" s="178"/>
      <c r="Q454" s="178"/>
      <c r="R454" s="178"/>
      <c r="S454" s="178"/>
      <c r="T454" s="178"/>
      <c r="U454" s="178"/>
      <c r="V454" s="178"/>
      <c r="W454" s="178"/>
      <c r="X454" s="178"/>
      <c r="Y454" s="178"/>
      <c r="Z454" s="178"/>
      <c r="AA454" s="178"/>
      <c r="AB454" s="178"/>
      <c r="AC454" s="178"/>
    </row>
    <row r="455" spans="1:29" ht="14.4" customHeight="1" x14ac:dyDescent="0.3">
      <c r="A455" s="178"/>
      <c r="B455" s="178"/>
      <c r="C455" s="178"/>
      <c r="D455" s="178"/>
      <c r="E455" s="178"/>
      <c r="F455" s="178"/>
      <c r="G455" s="178"/>
      <c r="H455" s="178"/>
      <c r="I455" s="178"/>
      <c r="J455" s="178"/>
      <c r="K455" s="178"/>
      <c r="L455" s="178"/>
      <c r="M455" s="178"/>
      <c r="N455" s="178"/>
      <c r="O455" s="178"/>
      <c r="P455" s="178"/>
      <c r="Q455" s="178"/>
      <c r="R455" s="178"/>
      <c r="S455" s="178"/>
      <c r="T455" s="178"/>
      <c r="U455" s="178"/>
      <c r="V455" s="178"/>
      <c r="W455" s="178"/>
      <c r="X455" s="178"/>
      <c r="Y455" s="178"/>
      <c r="Z455" s="178"/>
      <c r="AA455" s="178"/>
      <c r="AB455" s="178"/>
      <c r="AC455" s="178"/>
    </row>
    <row r="456" spans="1:29" ht="14.4" customHeight="1" x14ac:dyDescent="0.3">
      <c r="A456" s="178"/>
      <c r="B456" s="178"/>
      <c r="C456" s="178"/>
      <c r="D456" s="178"/>
      <c r="E456" s="178"/>
      <c r="F456" s="178"/>
      <c r="G456" s="178"/>
      <c r="H456" s="178"/>
      <c r="I456" s="178"/>
      <c r="J456" s="178"/>
      <c r="K456" s="178"/>
      <c r="L456" s="178"/>
      <c r="M456" s="178"/>
      <c r="N456" s="178"/>
      <c r="O456" s="178"/>
      <c r="P456" s="178"/>
      <c r="Q456" s="178"/>
      <c r="R456" s="178"/>
      <c r="S456" s="178"/>
      <c r="T456" s="178"/>
      <c r="U456" s="178"/>
      <c r="V456" s="178"/>
      <c r="W456" s="178"/>
      <c r="X456" s="178"/>
      <c r="Y456" s="178"/>
      <c r="Z456" s="178"/>
      <c r="AA456" s="178"/>
      <c r="AB456" s="178"/>
      <c r="AC456" s="178"/>
    </row>
  </sheetData>
  <sheetProtection algorithmName="SHA-512" hashValue="GQ0VocrxApmCeUMo5vAQ0ws7ttgwr4kAOxijB6RBJFrBCjti2jP6jwGQiyJLSRI02qasYP4gN6JvJUwDyWn7mg==" saltValue="ws3mrSAb1q/8N4Ga5M5kZg==" spinCount="100000" sheet="1" objects="1" scenarios="1" selectLockedCells="1"/>
  <mergeCells count="3">
    <mergeCell ref="A1:X1"/>
    <mergeCell ref="Y1:AA1"/>
    <mergeCell ref="A2:AC2"/>
  </mergeCells>
  <hyperlinks>
    <hyperlink ref="Y1:AA1" location="'Front Page'!A1" display="Return to Contents" xr:uid="{00000000-0004-0000-0700-000000000000}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D62"/>
  <sheetViews>
    <sheetView showGridLines="0" topLeftCell="A4" zoomScaleNormal="100" workbookViewId="0">
      <selection activeCell="B8" sqref="B8:AA8"/>
    </sheetView>
  </sheetViews>
  <sheetFormatPr defaultColWidth="0" defaultRowHeight="0" customHeight="1" zeroHeight="1" x14ac:dyDescent="0.3"/>
  <cols>
    <col min="1" max="1" width="4" style="33" customWidth="1"/>
    <col min="2" max="2" width="60.109375" style="33" customWidth="1"/>
    <col min="3" max="3" width="11.6640625" style="33" customWidth="1"/>
    <col min="4" max="4" width="7.6640625" style="33" customWidth="1"/>
    <col min="5" max="5" width="10" style="33" customWidth="1"/>
    <col min="6" max="7" width="12" style="33" customWidth="1"/>
    <col min="8" max="8" width="5.109375" style="122" customWidth="1"/>
    <col min="9" max="9" width="6.88671875" style="33" customWidth="1"/>
    <col min="10" max="10" width="5.109375" style="122" customWidth="1"/>
    <col min="11" max="11" width="6.88671875" style="33" customWidth="1"/>
    <col min="12" max="12" width="5.109375" style="122" customWidth="1"/>
    <col min="13" max="13" width="6.88671875" style="33" customWidth="1"/>
    <col min="14" max="14" width="5.109375" style="122" customWidth="1"/>
    <col min="15" max="15" width="6.88671875" style="33" customWidth="1"/>
    <col min="16" max="16" width="11.5546875" style="33" customWidth="1"/>
    <col min="17" max="17" width="5.109375" style="122" customWidth="1"/>
    <col min="18" max="18" width="6.88671875" style="33" customWidth="1"/>
    <col min="19" max="19" width="5.109375" style="122" customWidth="1"/>
    <col min="20" max="20" width="6.88671875" style="33" customWidth="1"/>
    <col min="21" max="21" width="5.109375" style="122" customWidth="1"/>
    <col min="22" max="22" width="6.88671875" style="33" customWidth="1"/>
    <col min="23" max="23" width="5.109375" style="122" customWidth="1"/>
    <col min="24" max="24" width="6.88671875" style="33" customWidth="1"/>
    <col min="25" max="25" width="11.5546875" style="33" customWidth="1"/>
    <col min="26" max="27" width="10.6640625" style="33" customWidth="1"/>
    <col min="28" max="28" width="9.109375" style="33" customWidth="1"/>
    <col min="29" max="30" width="0" style="33" hidden="1" customWidth="1"/>
    <col min="31" max="16384" width="9.109375" style="33" hidden="1"/>
  </cols>
  <sheetData>
    <row r="1" spans="1:28" ht="35.25" customHeight="1" x14ac:dyDescent="0.3">
      <c r="A1" s="10"/>
      <c r="B1" s="96" t="s">
        <v>101</v>
      </c>
      <c r="C1" s="83"/>
      <c r="D1" s="83"/>
      <c r="E1" s="83"/>
      <c r="F1" s="83"/>
      <c r="G1" s="83"/>
      <c r="H1" s="116"/>
      <c r="I1" s="83"/>
      <c r="J1" s="116"/>
      <c r="K1" s="83"/>
      <c r="L1" s="116"/>
      <c r="M1" s="83"/>
      <c r="N1" s="116"/>
      <c r="O1" s="83"/>
      <c r="P1" s="83"/>
      <c r="Q1" s="116"/>
      <c r="R1" s="83"/>
      <c r="S1" s="116"/>
      <c r="T1" s="83"/>
      <c r="U1" s="116"/>
      <c r="V1" s="83"/>
      <c r="W1" s="116"/>
      <c r="X1" s="83"/>
      <c r="Y1" s="83"/>
      <c r="Z1" s="83"/>
      <c r="AA1" s="83"/>
      <c r="AB1" s="83"/>
    </row>
    <row r="2" spans="1:28" s="41" customFormat="1" ht="5.0999999999999996" customHeight="1" x14ac:dyDescent="0.3">
      <c r="B2" s="123"/>
      <c r="C2" s="124"/>
      <c r="D2" s="124"/>
      <c r="E2" s="124"/>
      <c r="F2" s="124"/>
      <c r="G2" s="124"/>
      <c r="H2" s="125"/>
      <c r="I2" s="124"/>
      <c r="J2" s="125"/>
      <c r="K2" s="124"/>
      <c r="L2" s="125"/>
      <c r="M2" s="124"/>
      <c r="N2" s="125"/>
      <c r="O2" s="124"/>
      <c r="P2" s="124"/>
      <c r="Q2" s="125"/>
      <c r="R2" s="124"/>
      <c r="S2" s="125"/>
      <c r="T2" s="124"/>
      <c r="U2" s="125"/>
      <c r="V2" s="124"/>
      <c r="W2" s="125"/>
      <c r="X2" s="124"/>
      <c r="Y2" s="124"/>
      <c r="AB2" s="124"/>
    </row>
    <row r="3" spans="1:28" s="92" customFormat="1" ht="31.5" customHeight="1" x14ac:dyDescent="0.35">
      <c r="B3" s="126" t="s">
        <v>95</v>
      </c>
      <c r="C3" s="93"/>
      <c r="D3" s="93"/>
      <c r="E3" s="93"/>
      <c r="F3" s="93"/>
      <c r="H3" s="117"/>
      <c r="I3" s="93"/>
      <c r="J3" s="117"/>
      <c r="K3" s="93"/>
      <c r="L3" s="117"/>
      <c r="M3" s="94"/>
      <c r="N3" s="117"/>
      <c r="O3" s="94"/>
      <c r="P3" s="94"/>
      <c r="Q3" s="117"/>
      <c r="R3" s="94"/>
      <c r="S3" s="117"/>
      <c r="T3" s="94"/>
      <c r="U3" s="117"/>
      <c r="V3" s="94"/>
      <c r="W3" s="117"/>
      <c r="X3" s="94"/>
      <c r="Y3" s="94"/>
      <c r="Z3" s="93"/>
      <c r="AA3" s="95"/>
    </row>
    <row r="4" spans="1:28" ht="35.4" customHeight="1" thickBot="1" x14ac:dyDescent="0.5">
      <c r="B4" s="127" t="s">
        <v>177</v>
      </c>
      <c r="C4" s="13"/>
      <c r="D4" s="13"/>
      <c r="E4" s="13"/>
      <c r="F4" s="42"/>
      <c r="G4" s="13"/>
      <c r="H4" s="118"/>
      <c r="I4" s="13"/>
      <c r="J4" s="118"/>
      <c r="K4" s="13"/>
      <c r="L4" s="118"/>
      <c r="M4" s="14"/>
      <c r="N4" s="118"/>
      <c r="O4" s="14"/>
      <c r="P4" s="14"/>
      <c r="Q4" s="118"/>
      <c r="R4" s="14"/>
      <c r="S4" s="118"/>
      <c r="T4" s="14"/>
      <c r="U4" s="118"/>
      <c r="V4" s="14"/>
      <c r="W4" s="118"/>
      <c r="X4" s="14"/>
      <c r="Y4" s="14"/>
      <c r="Z4" s="13"/>
      <c r="AA4" s="15"/>
    </row>
    <row r="5" spans="1:28" ht="30.75" customHeight="1" thickTop="1" thickBot="1" x14ac:dyDescent="0.35">
      <c r="B5" s="327" t="s">
        <v>14</v>
      </c>
      <c r="C5" s="328" t="s">
        <v>18</v>
      </c>
      <c r="D5" s="328" t="s">
        <v>65</v>
      </c>
      <c r="E5" s="328" t="s">
        <v>19</v>
      </c>
      <c r="F5" s="288" t="s">
        <v>24</v>
      </c>
      <c r="G5" s="289"/>
      <c r="H5" s="288" t="s">
        <v>27</v>
      </c>
      <c r="I5" s="294"/>
      <c r="J5" s="294"/>
      <c r="K5" s="294"/>
      <c r="L5" s="294"/>
      <c r="M5" s="294"/>
      <c r="N5" s="294"/>
      <c r="O5" s="294"/>
      <c r="P5" s="294"/>
      <c r="Q5" s="294"/>
      <c r="R5" s="294"/>
      <c r="S5" s="294"/>
      <c r="T5" s="294"/>
      <c r="U5" s="294"/>
      <c r="V5" s="294"/>
      <c r="W5" s="294"/>
      <c r="X5" s="294"/>
      <c r="Y5" s="294"/>
      <c r="Z5" s="288" t="s">
        <v>3</v>
      </c>
      <c r="AA5" s="289"/>
    </row>
    <row r="6" spans="1:28" ht="44.1" customHeight="1" thickTop="1" thickBot="1" x14ac:dyDescent="0.35">
      <c r="B6" s="327"/>
      <c r="C6" s="329"/>
      <c r="D6" s="329"/>
      <c r="E6" s="329"/>
      <c r="F6" s="290" t="s">
        <v>25</v>
      </c>
      <c r="G6" s="292" t="s">
        <v>26</v>
      </c>
      <c r="H6" s="288" t="s">
        <v>32</v>
      </c>
      <c r="I6" s="294"/>
      <c r="J6" s="294"/>
      <c r="K6" s="294"/>
      <c r="L6" s="294"/>
      <c r="M6" s="294"/>
      <c r="N6" s="294"/>
      <c r="O6" s="294"/>
      <c r="P6" s="294"/>
      <c r="Q6" s="288" t="s">
        <v>31</v>
      </c>
      <c r="R6" s="294"/>
      <c r="S6" s="294"/>
      <c r="T6" s="294"/>
      <c r="U6" s="294"/>
      <c r="V6" s="294"/>
      <c r="W6" s="294"/>
      <c r="X6" s="294"/>
      <c r="Y6" s="294"/>
      <c r="Z6" s="290" t="s">
        <v>9</v>
      </c>
      <c r="AA6" s="292" t="s">
        <v>17</v>
      </c>
    </row>
    <row r="7" spans="1:28" ht="49.5" customHeight="1" thickTop="1" thickBot="1" x14ac:dyDescent="0.35">
      <c r="B7" s="327"/>
      <c r="C7" s="330"/>
      <c r="D7" s="330"/>
      <c r="E7" s="330"/>
      <c r="F7" s="291"/>
      <c r="G7" s="293"/>
      <c r="H7" s="295" t="s">
        <v>117</v>
      </c>
      <c r="I7" s="296"/>
      <c r="J7" s="297" t="s">
        <v>28</v>
      </c>
      <c r="K7" s="297"/>
      <c r="L7" s="297" t="s">
        <v>29</v>
      </c>
      <c r="M7" s="297"/>
      <c r="N7" s="298" t="s">
        <v>30</v>
      </c>
      <c r="O7" s="297"/>
      <c r="P7" s="228" t="s">
        <v>118</v>
      </c>
      <c r="Q7" s="295" t="s">
        <v>117</v>
      </c>
      <c r="R7" s="296"/>
      <c r="S7" s="297" t="s">
        <v>28</v>
      </c>
      <c r="T7" s="297"/>
      <c r="U7" s="297" t="s">
        <v>29</v>
      </c>
      <c r="V7" s="297"/>
      <c r="W7" s="298" t="s">
        <v>30</v>
      </c>
      <c r="X7" s="297"/>
      <c r="Y7" s="228" t="s">
        <v>118</v>
      </c>
      <c r="Z7" s="291"/>
      <c r="AA7" s="293"/>
    </row>
    <row r="8" spans="1:28" s="8" customFormat="1" ht="21.75" customHeight="1" thickTop="1" thickBot="1" x14ac:dyDescent="0.35">
      <c r="B8" s="25" t="str">
        <f>INDEX(Q3_Adult,14,2)</f>
        <v>Bristol, Bristol Heart Institute / Bristol Royal Hospital for Children</v>
      </c>
      <c r="C8" s="25" t="s">
        <v>20</v>
      </c>
      <c r="D8" s="56">
        <v>1</v>
      </c>
      <c r="E8" s="25" t="s">
        <v>21</v>
      </c>
      <c r="F8" s="64" t="str">
        <f>INDEX(Q3_Adult,14,7)</f>
        <v>No data</v>
      </c>
      <c r="G8" s="70" t="str">
        <f>INDEX(Q3_Adult,14,8)</f>
        <v>No data</v>
      </c>
      <c r="H8" s="210" t="str">
        <f>INDEX(Q3_Adult,14,9)</f>
        <v>No data</v>
      </c>
      <c r="I8" s="200">
        <f>IFERROR(H8/P8,0)</f>
        <v>0</v>
      </c>
      <c r="J8" s="201" t="str">
        <f>INDEX(Q3_Adult,14,10)</f>
        <v>No data</v>
      </c>
      <c r="K8" s="200">
        <f>IFERROR(J8/P8,0)</f>
        <v>0</v>
      </c>
      <c r="L8" s="201" t="str">
        <f>INDEX(Q3_Adult,14,11)</f>
        <v>No data</v>
      </c>
      <c r="M8" s="200">
        <f>IFERROR(L8/P8,0)</f>
        <v>0</v>
      </c>
      <c r="N8" s="201" t="str">
        <f>INDEX(Q3_Adult,14,12)</f>
        <v>No data</v>
      </c>
      <c r="O8" s="200">
        <f>IFERROR(N8/P8,0)</f>
        <v>0</v>
      </c>
      <c r="P8" s="202" t="str">
        <f>INDEX(Q3_Adult,14,13)</f>
        <v>No data</v>
      </c>
      <c r="Q8" s="199" t="str">
        <f>INDEX(Q3_Adult,14,15)</f>
        <v>No data</v>
      </c>
      <c r="R8" s="200">
        <f>IFERROR(Q8/Y8,0)</f>
        <v>0</v>
      </c>
      <c r="S8" s="201" t="str">
        <f>INDEX(Q3_Adult,14,16)</f>
        <v>No data</v>
      </c>
      <c r="T8" s="200">
        <f>IFERROR(S8/Y8,0)</f>
        <v>0</v>
      </c>
      <c r="U8" s="203" t="str">
        <f>INDEX(Q3_Adult,14,17)</f>
        <v>No data</v>
      </c>
      <c r="V8" s="200">
        <f>IFERROR(U8/Y8,0)</f>
        <v>0</v>
      </c>
      <c r="W8" s="201" t="str">
        <f>INDEX(Q3_Adult,14,18)</f>
        <v>No data</v>
      </c>
      <c r="X8" s="200">
        <f>IFERROR(W8/Y8,0)</f>
        <v>0</v>
      </c>
      <c r="Y8" s="113" t="str">
        <f>INDEX(Q3_Adult,14,19)</f>
        <v>No data</v>
      </c>
      <c r="Z8" s="66" t="str">
        <f>INDEX(Q3_Adult,14,21)</f>
        <v>No data</v>
      </c>
      <c r="AA8" s="67" t="str">
        <f>INDEX(Q3_Adult,14,22)</f>
        <v>No data</v>
      </c>
    </row>
    <row r="9" spans="1:28" s="8" customFormat="1" ht="21.75" customHeight="1" thickTop="1" thickBot="1" x14ac:dyDescent="0.35">
      <c r="B9" s="26" t="str">
        <f>INDEX(Q3_Adult,6,2)</f>
        <v>Cardiff &amp; Vale UHB, Noah’s Ark / University Hospital Wales</v>
      </c>
      <c r="C9" s="26" t="s">
        <v>20</v>
      </c>
      <c r="D9" s="57">
        <v>2</v>
      </c>
      <c r="E9" s="26" t="s">
        <v>22</v>
      </c>
      <c r="F9" s="65" t="str">
        <f>INDEX(Q3_Adult,6,7)</f>
        <v>No data</v>
      </c>
      <c r="G9" s="71" t="str">
        <f>INDEX(Q3_Adult,6,8)</f>
        <v>No data</v>
      </c>
      <c r="H9" s="204" t="str">
        <f>INDEX(Q3_Adult,6,9)</f>
        <v>No data</v>
      </c>
      <c r="I9" s="205">
        <f>IFERROR(H9/P9,0)</f>
        <v>0</v>
      </c>
      <c r="J9" s="206" t="str">
        <f>INDEX(Q3_Adult,6,10)</f>
        <v>No data</v>
      </c>
      <c r="K9" s="205">
        <f>IFERROR(J9/P9,0)</f>
        <v>0</v>
      </c>
      <c r="L9" s="206" t="str">
        <f>INDEX(Q3_Adult,6,11)</f>
        <v>No data</v>
      </c>
      <c r="M9" s="205">
        <f>IFERROR(L9/P9,0)</f>
        <v>0</v>
      </c>
      <c r="N9" s="206" t="str">
        <f>INDEX(Q3_Adult,6,12)</f>
        <v>No data</v>
      </c>
      <c r="O9" s="205">
        <f>IFERROR(N9/P9,0)</f>
        <v>0</v>
      </c>
      <c r="P9" s="207" t="str">
        <f>INDEX(Q3_Adult,6,13)</f>
        <v>No data</v>
      </c>
      <c r="Q9" s="208" t="str">
        <f>INDEX(Q3_Adult,6,15)</f>
        <v>No data</v>
      </c>
      <c r="R9" s="205">
        <f>IFERROR(Q9/Y9,0)</f>
        <v>0</v>
      </c>
      <c r="S9" s="206" t="str">
        <f>INDEX(Q3_Adult,6,16)</f>
        <v>No data</v>
      </c>
      <c r="T9" s="205">
        <f>IFERROR(S9/Y9,0)</f>
        <v>0</v>
      </c>
      <c r="U9" s="209" t="str">
        <f>INDEX(Q3_Adult,6,17)</f>
        <v>No data</v>
      </c>
      <c r="V9" s="205">
        <f>IFERROR(U9/Y9,0)</f>
        <v>0</v>
      </c>
      <c r="W9" s="206" t="str">
        <f>INDEX(Q3_Adult,6,18)</f>
        <v>No data</v>
      </c>
      <c r="X9" s="205">
        <f>IFERROR(W9/Y9,0)</f>
        <v>0</v>
      </c>
      <c r="Y9" s="114" t="str">
        <f>INDEX(Q3_Adult,6,19)</f>
        <v>No data</v>
      </c>
      <c r="Z9" s="68" t="str">
        <f>INDEX(Q3_Adult,6,21)</f>
        <v>No data</v>
      </c>
      <c r="AA9" s="69" t="str">
        <f>INDEX(Q3_Adult,6,22)</f>
        <v>No data</v>
      </c>
    </row>
    <row r="10" spans="1:28" s="82" customFormat="1" ht="21.75" customHeight="1" thickTop="1" thickBot="1" x14ac:dyDescent="0.35">
      <c r="B10" s="25" t="str">
        <f>INDEX(Q3_Adult,5,2)</f>
        <v>Aneurin Bevan UHB, Nevill Hall &amp; Royal Gwent Hospitals</v>
      </c>
      <c r="C10" s="25" t="s">
        <v>20</v>
      </c>
      <c r="D10" s="56">
        <v>3</v>
      </c>
      <c r="E10" s="25" t="s">
        <v>22</v>
      </c>
      <c r="F10" s="64" t="str">
        <f>INDEX(Q3_Adult,5,7)</f>
        <v>No data</v>
      </c>
      <c r="G10" s="70" t="str">
        <f>INDEX(Q3_Adult,5,8)</f>
        <v>No data</v>
      </c>
      <c r="H10" s="210" t="str">
        <f>INDEX(Q3_Adult,5,9)</f>
        <v>No data</v>
      </c>
      <c r="I10" s="200">
        <f>IFERROR(H10/P10,0)</f>
        <v>0</v>
      </c>
      <c r="J10" s="201" t="str">
        <f>INDEX(Q3_Adult,5,10)</f>
        <v>No data</v>
      </c>
      <c r="K10" s="200">
        <f>IFERROR(J10/P10,0)</f>
        <v>0</v>
      </c>
      <c r="L10" s="201" t="str">
        <f>INDEX(Q3_Adult,5,11)</f>
        <v>No data</v>
      </c>
      <c r="M10" s="200">
        <f>IFERROR(L10/P10,0)</f>
        <v>0</v>
      </c>
      <c r="N10" s="201" t="str">
        <f>INDEX(Q3_Adult,5,12)</f>
        <v>No data</v>
      </c>
      <c r="O10" s="200">
        <f>IFERROR(N10/P10,0)</f>
        <v>0</v>
      </c>
      <c r="P10" s="202" t="str">
        <f>INDEX(Q3_Adult,5,13)</f>
        <v>No data</v>
      </c>
      <c r="Q10" s="199" t="str">
        <f>INDEX(Q3_Adult,5,15)</f>
        <v>No data</v>
      </c>
      <c r="R10" s="200">
        <f>IFERROR(Q10/Y10,0)</f>
        <v>0</v>
      </c>
      <c r="S10" s="201" t="str">
        <f>INDEX(Q3_Adult,5,16)</f>
        <v>No data</v>
      </c>
      <c r="T10" s="200">
        <f>IFERROR(S10/Y10,0)</f>
        <v>0</v>
      </c>
      <c r="U10" s="203" t="str">
        <f>INDEX(Q3_Adult,5,17)</f>
        <v>No data</v>
      </c>
      <c r="V10" s="200">
        <f>IFERROR(U10/Y10,0)</f>
        <v>0</v>
      </c>
      <c r="W10" s="201" t="str">
        <f>INDEX(Q3_Adult,5,18)</f>
        <v>No data</v>
      </c>
      <c r="X10" s="200">
        <f>IFERROR(W10/Y10,0)</f>
        <v>0</v>
      </c>
      <c r="Y10" s="113" t="str">
        <f>INDEX(Q3_Adult,5,19)</f>
        <v>No data</v>
      </c>
      <c r="Z10" s="66" t="str">
        <f>INDEX(Q3_Adult,5,21)</f>
        <v>No data</v>
      </c>
      <c r="AA10" s="67" t="str">
        <f>INDEX(Q3_Adult,5,22)</f>
        <v>No data</v>
      </c>
    </row>
    <row r="11" spans="1:28" s="8" customFormat="1" ht="21.75" customHeight="1" thickTop="1" thickBot="1" x14ac:dyDescent="0.35">
      <c r="B11" s="26" t="str">
        <f>INDEX(Q3_Adult,7,2)</f>
        <v>Cwm Taf Morgannwg UHB, Princess of Wales Hospital</v>
      </c>
      <c r="C11" s="26" t="s">
        <v>20</v>
      </c>
      <c r="D11" s="57">
        <v>3</v>
      </c>
      <c r="E11" s="26" t="s">
        <v>22</v>
      </c>
      <c r="F11" s="65" t="str">
        <f>INDEX(Q3_Adult,7,7)</f>
        <v>No data</v>
      </c>
      <c r="G11" s="71" t="str">
        <f>INDEX(Q3_Adult,7,8)</f>
        <v>No data</v>
      </c>
      <c r="H11" s="204" t="str">
        <f>INDEX(Q3_Adult,7,9)</f>
        <v>No data</v>
      </c>
      <c r="I11" s="205">
        <f t="shared" ref="I11:I24" si="0">IFERROR(H11/P11,0)</f>
        <v>0</v>
      </c>
      <c r="J11" s="206" t="str">
        <f>INDEX(Q3_Adult,7,10)</f>
        <v>No data</v>
      </c>
      <c r="K11" s="205">
        <f t="shared" ref="K11:K24" si="1">IFERROR(J11/P11,0)</f>
        <v>0</v>
      </c>
      <c r="L11" s="206" t="str">
        <f>INDEX(Q3_Adult,7,11)</f>
        <v>No data</v>
      </c>
      <c r="M11" s="205">
        <f t="shared" ref="M11:M24" si="2">IFERROR(L11/P11,0)</f>
        <v>0</v>
      </c>
      <c r="N11" s="206" t="str">
        <f>INDEX(Q3_Adult,7,12)</f>
        <v>No data</v>
      </c>
      <c r="O11" s="205">
        <f t="shared" ref="O11:O24" si="3">IFERROR(N11/P11,0)</f>
        <v>0</v>
      </c>
      <c r="P11" s="207" t="str">
        <f>INDEX(Q3_Adult,7,13)</f>
        <v>No data</v>
      </c>
      <c r="Q11" s="208" t="str">
        <f>INDEX(Q3_Adult,7,15)</f>
        <v>No data</v>
      </c>
      <c r="R11" s="205">
        <f t="shared" ref="R11:R24" si="4">IFERROR(Q11/Y11,0)</f>
        <v>0</v>
      </c>
      <c r="S11" s="206" t="str">
        <f>INDEX(Q3_Adult,7,16)</f>
        <v>No data</v>
      </c>
      <c r="T11" s="205">
        <f t="shared" ref="T11:T24" si="5">IFERROR(S11/Y11,0)</f>
        <v>0</v>
      </c>
      <c r="U11" s="209" t="str">
        <f>INDEX(Q3_Adult,7,17)</f>
        <v>No data</v>
      </c>
      <c r="V11" s="205">
        <f t="shared" ref="V11:V24" si="6">IFERROR(U11/Y11,0)</f>
        <v>0</v>
      </c>
      <c r="W11" s="206" t="str">
        <f>INDEX(Q3_Adult,7,18)</f>
        <v>No data</v>
      </c>
      <c r="X11" s="205">
        <f t="shared" ref="X11:X24" si="7">IFERROR(W11/Y11,0)</f>
        <v>0</v>
      </c>
      <c r="Y11" s="114" t="str">
        <f>INDEX(Q3_Adult,7,19)</f>
        <v>No data</v>
      </c>
      <c r="Z11" s="68" t="str">
        <f>INDEX(Q3_Adult,7,21)</f>
        <v>No data</v>
      </c>
      <c r="AA11" s="69" t="str">
        <f>INDEX(Q3_Adult,7,22)</f>
        <v>No data</v>
      </c>
    </row>
    <row r="12" spans="1:28" s="8" customFormat="1" ht="21.75" customHeight="1" thickTop="1" thickBot="1" x14ac:dyDescent="0.35">
      <c r="B12" s="25" t="str">
        <f>INDEX(Q3_Adult,8,2)</f>
        <v xml:space="preserve">Cwm Taf Morgannwg UHB, Royal Glamorgan Hospital </v>
      </c>
      <c r="C12" s="25" t="s">
        <v>20</v>
      </c>
      <c r="D12" s="56">
        <v>3</v>
      </c>
      <c r="E12" s="25" t="s">
        <v>22</v>
      </c>
      <c r="F12" s="64" t="str">
        <f>INDEX(Q3_Adult,8,7)</f>
        <v>No data</v>
      </c>
      <c r="G12" s="70" t="str">
        <f>INDEX(Q3_Adult,8,8)</f>
        <v>No data</v>
      </c>
      <c r="H12" s="210" t="str">
        <f>INDEX(Q3_Adult,8,9)</f>
        <v>No data</v>
      </c>
      <c r="I12" s="200">
        <f t="shared" si="0"/>
        <v>0</v>
      </c>
      <c r="J12" s="201" t="str">
        <f>INDEX(Q3_Adult,8,10)</f>
        <v>No data</v>
      </c>
      <c r="K12" s="200">
        <f t="shared" si="1"/>
        <v>0</v>
      </c>
      <c r="L12" s="201" t="str">
        <f>INDEX(Q3_Adult,8,11)</f>
        <v>No data</v>
      </c>
      <c r="M12" s="200">
        <f t="shared" si="2"/>
        <v>0</v>
      </c>
      <c r="N12" s="201" t="str">
        <f>INDEX(Q3_Adult,8,12)</f>
        <v>No data</v>
      </c>
      <c r="O12" s="200">
        <f t="shared" si="3"/>
        <v>0</v>
      </c>
      <c r="P12" s="202" t="str">
        <f>INDEX(Q3_Adult,8,13)</f>
        <v>No data</v>
      </c>
      <c r="Q12" s="199" t="str">
        <f>INDEX(Q3_Adult,8,15)</f>
        <v>No data</v>
      </c>
      <c r="R12" s="200">
        <f t="shared" si="4"/>
        <v>0</v>
      </c>
      <c r="S12" s="201" t="str">
        <f>INDEX(Q3_Adult,8,16)</f>
        <v>No data</v>
      </c>
      <c r="T12" s="200">
        <f t="shared" si="5"/>
        <v>0</v>
      </c>
      <c r="U12" s="203" t="str">
        <f>INDEX(Q3_Adult,8,17)</f>
        <v>No data</v>
      </c>
      <c r="V12" s="200">
        <f t="shared" si="6"/>
        <v>0</v>
      </c>
      <c r="W12" s="201" t="str">
        <f>INDEX(Q3_Adult,8,18)</f>
        <v>No data</v>
      </c>
      <c r="X12" s="200">
        <f t="shared" si="7"/>
        <v>0</v>
      </c>
      <c r="Y12" s="113" t="str">
        <f>INDEX(Q3_Adult,8,19)</f>
        <v>No data</v>
      </c>
      <c r="Z12" s="66" t="str">
        <f>INDEX(Q3_Adult,8,21)</f>
        <v>No data</v>
      </c>
      <c r="AA12" s="67" t="str">
        <f>INDEX(Q3_Adult,8,22)</f>
        <v>No data</v>
      </c>
    </row>
    <row r="13" spans="1:28" s="8" customFormat="1" ht="21.75" customHeight="1" thickTop="1" thickBot="1" x14ac:dyDescent="0.35">
      <c r="B13" s="26" t="str">
        <f>INDEX(Q3_Adult,9,2)</f>
        <v>Cwm Taf Morgannwg UHB, Prince Charles Hospital</v>
      </c>
      <c r="C13" s="26" t="s">
        <v>20</v>
      </c>
      <c r="D13" s="57">
        <v>3</v>
      </c>
      <c r="E13" s="26" t="s">
        <v>22</v>
      </c>
      <c r="F13" s="65" t="str">
        <f>INDEX(Q3_Adult,9,7)</f>
        <v>No data</v>
      </c>
      <c r="G13" s="71" t="str">
        <f>INDEX(Q3_Adult,9,8)</f>
        <v>No data</v>
      </c>
      <c r="H13" s="204" t="str">
        <f>INDEX(Q3_Adult,9,9)</f>
        <v>No data</v>
      </c>
      <c r="I13" s="205">
        <f t="shared" si="0"/>
        <v>0</v>
      </c>
      <c r="J13" s="206" t="str">
        <f>INDEX(Q3_Adult,9,10)</f>
        <v>No data</v>
      </c>
      <c r="K13" s="205">
        <f t="shared" si="1"/>
        <v>0</v>
      </c>
      <c r="L13" s="206" t="str">
        <f>INDEX(Q3_Adult,9,11)</f>
        <v>No data</v>
      </c>
      <c r="M13" s="205">
        <f t="shared" si="2"/>
        <v>0</v>
      </c>
      <c r="N13" s="206" t="str">
        <f>INDEX(Q3_Adult,9,12)</f>
        <v>No data</v>
      </c>
      <c r="O13" s="205">
        <f t="shared" si="3"/>
        <v>0</v>
      </c>
      <c r="P13" s="207" t="str">
        <f>INDEX(Q3_Adult,9,13)</f>
        <v>No data</v>
      </c>
      <c r="Q13" s="208" t="str">
        <f>INDEX(Q3_Adult,9,15)</f>
        <v>No data</v>
      </c>
      <c r="R13" s="205">
        <f t="shared" si="4"/>
        <v>0</v>
      </c>
      <c r="S13" s="206" t="str">
        <f>INDEX(Q3_Adult,9,16)</f>
        <v>No data</v>
      </c>
      <c r="T13" s="205">
        <f t="shared" si="5"/>
        <v>0</v>
      </c>
      <c r="U13" s="209" t="str">
        <f>INDEX(Q3_Adult,9,17)</f>
        <v>No data</v>
      </c>
      <c r="V13" s="205">
        <f t="shared" si="6"/>
        <v>0</v>
      </c>
      <c r="W13" s="206" t="str">
        <f>INDEX(Q3_Adult,9,18)</f>
        <v>No data</v>
      </c>
      <c r="X13" s="205">
        <f t="shared" si="7"/>
        <v>0</v>
      </c>
      <c r="Y13" s="114" t="str">
        <f>INDEX(Q3_Adult,9,19)</f>
        <v>No data</v>
      </c>
      <c r="Z13" s="68" t="str">
        <f>INDEX(Q3_Adult,9,21)</f>
        <v>No data</v>
      </c>
      <c r="AA13" s="69" t="str">
        <f>INDEX(Q3_Adult,9,22)</f>
        <v>No data</v>
      </c>
    </row>
    <row r="14" spans="1:28" s="8" customFormat="1" ht="21.75" customHeight="1" thickTop="1" thickBot="1" x14ac:dyDescent="0.35">
      <c r="B14" s="25" t="str">
        <f>INDEX(Q3_Adult,10,2)</f>
        <v>Hywel Dda UHB, Glangwilli Hospital</v>
      </c>
      <c r="C14" s="25" t="s">
        <v>20</v>
      </c>
      <c r="D14" s="56">
        <v>3</v>
      </c>
      <c r="E14" s="25" t="s">
        <v>22</v>
      </c>
      <c r="F14" s="64" t="str">
        <f>INDEX(Q3_Adult,10,7)</f>
        <v>No data</v>
      </c>
      <c r="G14" s="70" t="str">
        <f>INDEX(Q3_Adult,10,8)</f>
        <v>No data</v>
      </c>
      <c r="H14" s="210" t="str">
        <f>INDEX(Q3_Adult,10,9)</f>
        <v>No data</v>
      </c>
      <c r="I14" s="200">
        <f t="shared" si="0"/>
        <v>0</v>
      </c>
      <c r="J14" s="201" t="str">
        <f>INDEX(Q3_Adult,10,10)</f>
        <v>No data</v>
      </c>
      <c r="K14" s="200">
        <f t="shared" si="1"/>
        <v>0</v>
      </c>
      <c r="L14" s="201" t="str">
        <f>INDEX(Q3_Adult,10,11)</f>
        <v>No data</v>
      </c>
      <c r="M14" s="200">
        <f t="shared" si="2"/>
        <v>0</v>
      </c>
      <c r="N14" s="201" t="str">
        <f>INDEX(Q3_Adult,10,12)</f>
        <v>No data</v>
      </c>
      <c r="O14" s="200">
        <f t="shared" si="3"/>
        <v>0</v>
      </c>
      <c r="P14" s="202" t="str">
        <f>INDEX(Q3_Adult,10,13)</f>
        <v>No data</v>
      </c>
      <c r="Q14" s="199" t="str">
        <f>INDEX(Q3_Adult,10,15)</f>
        <v>No data</v>
      </c>
      <c r="R14" s="200">
        <f t="shared" si="4"/>
        <v>0</v>
      </c>
      <c r="S14" s="201" t="str">
        <f>INDEX(Q3_Adult,10,16)</f>
        <v>No data</v>
      </c>
      <c r="T14" s="200">
        <f t="shared" si="5"/>
        <v>0</v>
      </c>
      <c r="U14" s="203" t="str">
        <f>INDEX(Q3_Adult,10,17)</f>
        <v>No data</v>
      </c>
      <c r="V14" s="200">
        <f t="shared" si="6"/>
        <v>0</v>
      </c>
      <c r="W14" s="201" t="str">
        <f>INDEX(Q3_Adult,10,18)</f>
        <v>No data</v>
      </c>
      <c r="X14" s="200">
        <f t="shared" si="7"/>
        <v>0</v>
      </c>
      <c r="Y14" s="113" t="str">
        <f>INDEX(Q3_Adult,10,19)</f>
        <v>No data</v>
      </c>
      <c r="Z14" s="66" t="str">
        <f>INDEX(Q3_Adult,10,21)</f>
        <v>No data</v>
      </c>
      <c r="AA14" s="67" t="str">
        <f>INDEX(Q3_Adult,10,22)</f>
        <v>No data</v>
      </c>
    </row>
    <row r="15" spans="1:28" s="8" customFormat="1" ht="21.75" customHeight="1" thickTop="1" thickBot="1" x14ac:dyDescent="0.35">
      <c r="B15" s="26" t="str">
        <f>INDEX(Q3_Adult,11,2)</f>
        <v>Hywel Dda UHB, Withybush Hospital</v>
      </c>
      <c r="C15" s="26" t="s">
        <v>20</v>
      </c>
      <c r="D15" s="57">
        <v>3</v>
      </c>
      <c r="E15" s="26" t="s">
        <v>22</v>
      </c>
      <c r="F15" s="65" t="str">
        <f>INDEX(Q3_Adult,11,7)</f>
        <v>No data</v>
      </c>
      <c r="G15" s="71" t="str">
        <f>INDEX(Q3_Adult,11,8)</f>
        <v>No data</v>
      </c>
      <c r="H15" s="204" t="str">
        <f>INDEX(Q3_Adult,11,9)</f>
        <v>No data</v>
      </c>
      <c r="I15" s="205">
        <f t="shared" si="0"/>
        <v>0</v>
      </c>
      <c r="J15" s="206" t="str">
        <f>INDEX(Q3_Adult,11,10)</f>
        <v>No data</v>
      </c>
      <c r="K15" s="205">
        <f t="shared" si="1"/>
        <v>0</v>
      </c>
      <c r="L15" s="206" t="str">
        <f>INDEX(Q3_Adult,11,11)</f>
        <v>No data</v>
      </c>
      <c r="M15" s="205">
        <f t="shared" si="2"/>
        <v>0</v>
      </c>
      <c r="N15" s="206" t="str">
        <f>INDEX(Q3_Adult,11,12)</f>
        <v>No data</v>
      </c>
      <c r="O15" s="205">
        <f t="shared" si="3"/>
        <v>0</v>
      </c>
      <c r="P15" s="207" t="str">
        <f>INDEX(Q3_Adult,11,13)</f>
        <v>No data</v>
      </c>
      <c r="Q15" s="208" t="str">
        <f>INDEX(Q3_Adult,11,15)</f>
        <v>No data</v>
      </c>
      <c r="R15" s="205">
        <f t="shared" si="4"/>
        <v>0</v>
      </c>
      <c r="S15" s="206" t="str">
        <f>INDEX(Q3_Adult,11,16)</f>
        <v>No data</v>
      </c>
      <c r="T15" s="205">
        <f t="shared" si="5"/>
        <v>0</v>
      </c>
      <c r="U15" s="209" t="str">
        <f>INDEX(Q3_Adult,11,17)</f>
        <v>No data</v>
      </c>
      <c r="V15" s="205">
        <f t="shared" si="6"/>
        <v>0</v>
      </c>
      <c r="W15" s="206" t="str">
        <f>INDEX(Q3_Adult,11,18)</f>
        <v>No data</v>
      </c>
      <c r="X15" s="205">
        <f t="shared" si="7"/>
        <v>0</v>
      </c>
      <c r="Y15" s="114" t="str">
        <f>INDEX(Q3_Adult,11,19)</f>
        <v>No data</v>
      </c>
      <c r="Z15" s="68" t="str">
        <f>INDEX(Q3_Adult,11,21)</f>
        <v>No data</v>
      </c>
      <c r="AA15" s="69" t="str">
        <f>INDEX(Q3_Adult,11,22)</f>
        <v>No data</v>
      </c>
    </row>
    <row r="16" spans="1:28" s="8" customFormat="1" ht="21.75" customHeight="1" thickTop="1" thickBot="1" x14ac:dyDescent="0.35">
      <c r="B16" s="25" t="str">
        <f>INDEX(Q3_Adult,12,2)</f>
        <v>Swansea Bay UHB, Morriston / Singleton Hospitals</v>
      </c>
      <c r="C16" s="25" t="s">
        <v>20</v>
      </c>
      <c r="D16" s="56">
        <v>3</v>
      </c>
      <c r="E16" s="25" t="s">
        <v>22</v>
      </c>
      <c r="F16" s="64" t="str">
        <f>INDEX(Q3_Adult,12,7)</f>
        <v>No data</v>
      </c>
      <c r="G16" s="70" t="str">
        <f>INDEX(Q3_Adult,12,8)</f>
        <v>No data</v>
      </c>
      <c r="H16" s="210" t="str">
        <f>INDEX(Q3_Adult,12,9)</f>
        <v>No data</v>
      </c>
      <c r="I16" s="200">
        <f t="shared" si="0"/>
        <v>0</v>
      </c>
      <c r="J16" s="201" t="str">
        <f>INDEX(Q3_Adult,12,10)</f>
        <v>No data</v>
      </c>
      <c r="K16" s="200">
        <f t="shared" si="1"/>
        <v>0</v>
      </c>
      <c r="L16" s="201" t="str">
        <f>INDEX(Q3_Adult,12,11)</f>
        <v>No data</v>
      </c>
      <c r="M16" s="200">
        <f t="shared" si="2"/>
        <v>0</v>
      </c>
      <c r="N16" s="201" t="str">
        <f>INDEX(Q3_Adult,12,12)</f>
        <v>No data</v>
      </c>
      <c r="O16" s="200">
        <f t="shared" si="3"/>
        <v>0</v>
      </c>
      <c r="P16" s="202" t="str">
        <f>INDEX(Q3_Adult,12,13)</f>
        <v>No data</v>
      </c>
      <c r="Q16" s="199" t="str">
        <f>INDEX(Q3_Adult,12,15)</f>
        <v>No data</v>
      </c>
      <c r="R16" s="200">
        <f t="shared" si="4"/>
        <v>0</v>
      </c>
      <c r="S16" s="201" t="str">
        <f>INDEX(Q3_Adult,12,16)</f>
        <v>No data</v>
      </c>
      <c r="T16" s="200">
        <f t="shared" si="5"/>
        <v>0</v>
      </c>
      <c r="U16" s="203" t="str">
        <f>INDEX(Q3_Adult,12,17)</f>
        <v>No data</v>
      </c>
      <c r="V16" s="200">
        <f t="shared" si="6"/>
        <v>0</v>
      </c>
      <c r="W16" s="201" t="str">
        <f>INDEX(Q3_Adult,12,18)</f>
        <v>No data</v>
      </c>
      <c r="X16" s="200">
        <f t="shared" si="7"/>
        <v>0</v>
      </c>
      <c r="Y16" s="113" t="str">
        <f>INDEX(Q3_Adult,12,19)</f>
        <v>No data</v>
      </c>
      <c r="Z16" s="66" t="str">
        <f>INDEX(Q3_Adult,12,21)</f>
        <v>No data</v>
      </c>
      <c r="AA16" s="67" t="str">
        <f>INDEX(Q3_Adult,12,22)</f>
        <v>No data</v>
      </c>
    </row>
    <row r="17" spans="2:27" s="8" customFormat="1" ht="21.75" customHeight="1" thickTop="1" thickBot="1" x14ac:dyDescent="0.35">
      <c r="B17" s="26" t="str">
        <f>INDEX(Q3_Adult,13,2)</f>
        <v xml:space="preserve">Barnstaple, North Devon District Hospital </v>
      </c>
      <c r="C17" s="26" t="s">
        <v>20</v>
      </c>
      <c r="D17" s="57">
        <v>3</v>
      </c>
      <c r="E17" s="26" t="s">
        <v>21</v>
      </c>
      <c r="F17" s="65" t="str">
        <f>INDEX(Q3_Adult,13,7)</f>
        <v>No data</v>
      </c>
      <c r="G17" s="71" t="str">
        <f>INDEX(Q3_Adult,13,8)</f>
        <v>No data</v>
      </c>
      <c r="H17" s="204" t="str">
        <f>INDEX(Q3_Adult,13,9)</f>
        <v>No data</v>
      </c>
      <c r="I17" s="205">
        <f t="shared" si="0"/>
        <v>0</v>
      </c>
      <c r="J17" s="206" t="str">
        <f>INDEX(Q3_Adult,13,10)</f>
        <v>No data</v>
      </c>
      <c r="K17" s="205">
        <f t="shared" si="1"/>
        <v>0</v>
      </c>
      <c r="L17" s="206" t="str">
        <f>INDEX(Q3_Adult,13,11)</f>
        <v>No data</v>
      </c>
      <c r="M17" s="205">
        <f t="shared" si="2"/>
        <v>0</v>
      </c>
      <c r="N17" s="206" t="str">
        <f>INDEX(Q3_Adult,13,12)</f>
        <v>No data</v>
      </c>
      <c r="O17" s="205">
        <f t="shared" si="3"/>
        <v>0</v>
      </c>
      <c r="P17" s="207" t="str">
        <f>INDEX(Q3_Adult,13,13)</f>
        <v>No data</v>
      </c>
      <c r="Q17" s="208" t="str">
        <f>INDEX(Q3_Adult,13,15)</f>
        <v>No data</v>
      </c>
      <c r="R17" s="205">
        <f t="shared" si="4"/>
        <v>0</v>
      </c>
      <c r="S17" s="206" t="str">
        <f>INDEX(Q3_Adult,13,16)</f>
        <v>No data</v>
      </c>
      <c r="T17" s="205">
        <f t="shared" si="5"/>
        <v>0</v>
      </c>
      <c r="U17" s="209" t="str">
        <f>INDEX(Q3_Adult,13,17)</f>
        <v>No data</v>
      </c>
      <c r="V17" s="205">
        <f t="shared" si="6"/>
        <v>0</v>
      </c>
      <c r="W17" s="206" t="str">
        <f>INDEX(Q3_Adult,13,18)</f>
        <v>No data</v>
      </c>
      <c r="X17" s="205">
        <f t="shared" si="7"/>
        <v>0</v>
      </c>
      <c r="Y17" s="114" t="str">
        <f>INDEX(Q3_Adult,13,19)</f>
        <v>No data</v>
      </c>
      <c r="Z17" s="68" t="str">
        <f>INDEX(Q3_Adult,13,21)</f>
        <v>No data</v>
      </c>
      <c r="AA17" s="69" t="str">
        <f>INDEX(Q3_Adult,13,22)</f>
        <v>No data</v>
      </c>
    </row>
    <row r="18" spans="2:27" s="8" customFormat="1" ht="21.75" customHeight="1" thickTop="1" thickBot="1" x14ac:dyDescent="0.35">
      <c r="B18" s="25" t="str">
        <f>INDEX(Q3_Adult,15,2)</f>
        <v xml:space="preserve">Exeter, Royal Devon and Exeter Hospital </v>
      </c>
      <c r="C18" s="25" t="s">
        <v>20</v>
      </c>
      <c r="D18" s="56">
        <v>3</v>
      </c>
      <c r="E18" s="25" t="s">
        <v>21</v>
      </c>
      <c r="F18" s="64" t="str">
        <f>INDEX(Q3_Adult,15,7)</f>
        <v>No data</v>
      </c>
      <c r="G18" s="70" t="str">
        <f>INDEX(Q3_Adult,15,8)</f>
        <v>No data</v>
      </c>
      <c r="H18" s="210" t="str">
        <f>INDEX(Q3_Adult,15,9)</f>
        <v>No data</v>
      </c>
      <c r="I18" s="200">
        <f t="shared" si="0"/>
        <v>0</v>
      </c>
      <c r="J18" s="201" t="str">
        <f>INDEX(Q3_Adult,15,10)</f>
        <v>No data</v>
      </c>
      <c r="K18" s="200">
        <f t="shared" si="1"/>
        <v>0</v>
      </c>
      <c r="L18" s="201" t="str">
        <f>INDEX(Q3_Adult,15,11)</f>
        <v>No data</v>
      </c>
      <c r="M18" s="200">
        <f t="shared" si="2"/>
        <v>0</v>
      </c>
      <c r="N18" s="201" t="str">
        <f>INDEX(Q3_Adult,15,12)</f>
        <v>No data</v>
      </c>
      <c r="O18" s="200">
        <f t="shared" si="3"/>
        <v>0</v>
      </c>
      <c r="P18" s="202" t="str">
        <f>INDEX(Q3_Adult,15,13)</f>
        <v>No data</v>
      </c>
      <c r="Q18" s="199" t="str">
        <f>INDEX(Q3_Adult,15,15)</f>
        <v>No data</v>
      </c>
      <c r="R18" s="200">
        <f t="shared" si="4"/>
        <v>0</v>
      </c>
      <c r="S18" s="201" t="str">
        <f>INDEX(Q3_Adult,15,16)</f>
        <v>No data</v>
      </c>
      <c r="T18" s="200">
        <f t="shared" si="5"/>
        <v>0</v>
      </c>
      <c r="U18" s="203" t="str">
        <f>INDEX(Q3_Adult,15,17)</f>
        <v>No data</v>
      </c>
      <c r="V18" s="200">
        <f t="shared" si="6"/>
        <v>0</v>
      </c>
      <c r="W18" s="201" t="str">
        <f>INDEX(Q3_Adult,15,18)</f>
        <v>No data</v>
      </c>
      <c r="X18" s="200">
        <f t="shared" si="7"/>
        <v>0</v>
      </c>
      <c r="Y18" s="113" t="str">
        <f>INDEX(Q3_Adult,15,19)</f>
        <v>No data</v>
      </c>
      <c r="Z18" s="66" t="str">
        <f>INDEX(Q3_Adult,15,21)</f>
        <v>No data</v>
      </c>
      <c r="AA18" s="67" t="str">
        <f>INDEX(Q3_Adult,15,22)</f>
        <v>No data</v>
      </c>
    </row>
    <row r="19" spans="2:27" s="8" customFormat="1" ht="21.75" customHeight="1" thickTop="1" thickBot="1" x14ac:dyDescent="0.35">
      <c r="B19" s="26" t="str">
        <f>INDEX(Q3_Adult,16,2)</f>
        <v>Gloucester, Gloucestershire Hospitals</v>
      </c>
      <c r="C19" s="26" t="s">
        <v>20</v>
      </c>
      <c r="D19" s="57">
        <v>3</v>
      </c>
      <c r="E19" s="26" t="s">
        <v>21</v>
      </c>
      <c r="F19" s="65" t="str">
        <f>INDEX(Q3_Adult,16,7)</f>
        <v>No data</v>
      </c>
      <c r="G19" s="71" t="str">
        <f>INDEX(Q3_Adult,16,8)</f>
        <v>No data</v>
      </c>
      <c r="H19" s="204" t="str">
        <f>INDEX(Q3_Adult,16,9)</f>
        <v>No data</v>
      </c>
      <c r="I19" s="205">
        <f t="shared" si="0"/>
        <v>0</v>
      </c>
      <c r="J19" s="206" t="str">
        <f>INDEX(Q3_Adult,16,10)</f>
        <v>No data</v>
      </c>
      <c r="K19" s="205">
        <f t="shared" si="1"/>
        <v>0</v>
      </c>
      <c r="L19" s="206" t="str">
        <f>INDEX(Q3_Adult,16,11)</f>
        <v>No data</v>
      </c>
      <c r="M19" s="205">
        <f t="shared" si="2"/>
        <v>0</v>
      </c>
      <c r="N19" s="206" t="str">
        <f>INDEX(Q3_Adult,16,12)</f>
        <v>No data</v>
      </c>
      <c r="O19" s="205">
        <f t="shared" si="3"/>
        <v>0</v>
      </c>
      <c r="P19" s="207" t="str">
        <f>INDEX(Q3_Adult,16,13)</f>
        <v>No data</v>
      </c>
      <c r="Q19" s="208" t="str">
        <f>INDEX(Q3_Adult,16,15)</f>
        <v>No data</v>
      </c>
      <c r="R19" s="205">
        <f t="shared" si="4"/>
        <v>0</v>
      </c>
      <c r="S19" s="206" t="str">
        <f>INDEX(Q3_Adult,16,16)</f>
        <v>No data</v>
      </c>
      <c r="T19" s="205">
        <f t="shared" si="5"/>
        <v>0</v>
      </c>
      <c r="U19" s="209" t="str">
        <f>INDEX(Q3_Adult,16,17)</f>
        <v>No data</v>
      </c>
      <c r="V19" s="205">
        <f t="shared" si="6"/>
        <v>0</v>
      </c>
      <c r="W19" s="206" t="str">
        <f>INDEX(Q3_Adult,16,18)</f>
        <v>No data</v>
      </c>
      <c r="X19" s="205">
        <f t="shared" si="7"/>
        <v>0</v>
      </c>
      <c r="Y19" s="114" t="str">
        <f>INDEX(Q3_Adult,16,19)</f>
        <v>No data</v>
      </c>
      <c r="Z19" s="68" t="str">
        <f>INDEX(Q3_Adult,16,21)</f>
        <v>No data</v>
      </c>
      <c r="AA19" s="69" t="str">
        <f>INDEX(Q3_Adult,16,22)</f>
        <v>No data</v>
      </c>
    </row>
    <row r="20" spans="2:27" s="8" customFormat="1" ht="21.75" customHeight="1" thickTop="1" thickBot="1" x14ac:dyDescent="0.35">
      <c r="B20" s="25" t="str">
        <f>INDEX(Q3_Adult,17,2)</f>
        <v xml:space="preserve">Plymouth, Derriford Hospital </v>
      </c>
      <c r="C20" s="25" t="s">
        <v>20</v>
      </c>
      <c r="D20" s="56">
        <v>3</v>
      </c>
      <c r="E20" s="25" t="s">
        <v>21</v>
      </c>
      <c r="F20" s="64" t="str">
        <f>INDEX(Q3_Adult,17,7)</f>
        <v>No data</v>
      </c>
      <c r="G20" s="70" t="str">
        <f>INDEX(Q3_Adult,17,8)</f>
        <v>No data</v>
      </c>
      <c r="H20" s="210" t="str">
        <f>INDEX(Q3_Adult,17,9)</f>
        <v>No data</v>
      </c>
      <c r="I20" s="200">
        <f t="shared" si="0"/>
        <v>0</v>
      </c>
      <c r="J20" s="201" t="str">
        <f>INDEX(Q3_Adult,17,10)</f>
        <v>No data</v>
      </c>
      <c r="K20" s="200">
        <f t="shared" si="1"/>
        <v>0</v>
      </c>
      <c r="L20" s="201" t="str">
        <f>INDEX(Q3_Adult,17,11)</f>
        <v>No data</v>
      </c>
      <c r="M20" s="200">
        <f t="shared" si="2"/>
        <v>0</v>
      </c>
      <c r="N20" s="201" t="str">
        <f>INDEX(Q3_Adult,17,12)</f>
        <v>No data</v>
      </c>
      <c r="O20" s="200">
        <f t="shared" si="3"/>
        <v>0</v>
      </c>
      <c r="P20" s="202" t="str">
        <f>INDEX(Q3_Adult,17,13)</f>
        <v>No data</v>
      </c>
      <c r="Q20" s="199" t="str">
        <f>INDEX(Q3_Adult,17,15)</f>
        <v>No data</v>
      </c>
      <c r="R20" s="200">
        <f t="shared" si="4"/>
        <v>0</v>
      </c>
      <c r="S20" s="201" t="str">
        <f>INDEX(Q3_Adult,17,16)</f>
        <v>No data</v>
      </c>
      <c r="T20" s="200">
        <f t="shared" si="5"/>
        <v>0</v>
      </c>
      <c r="U20" s="203" t="str">
        <f>INDEX(Q3_Adult,17,17)</f>
        <v>No data</v>
      </c>
      <c r="V20" s="200">
        <f t="shared" si="6"/>
        <v>0</v>
      </c>
      <c r="W20" s="201" t="str">
        <f>INDEX(Q3_Adult,17,18)</f>
        <v>No data</v>
      </c>
      <c r="X20" s="200">
        <f t="shared" si="7"/>
        <v>0</v>
      </c>
      <c r="Y20" s="113" t="str">
        <f>INDEX(Q3_Adult,17,19)</f>
        <v>No data</v>
      </c>
      <c r="Z20" s="66" t="str">
        <f>INDEX(Q3_Adult,17,21)</f>
        <v>No data</v>
      </c>
      <c r="AA20" s="67" t="str">
        <f>INDEX(Q3_Adult,17,22)</f>
        <v>No data</v>
      </c>
    </row>
    <row r="21" spans="2:27" s="8" customFormat="1" ht="21.75" customHeight="1" thickTop="1" thickBot="1" x14ac:dyDescent="0.35">
      <c r="B21" s="26" t="str">
        <f>INDEX(Q3_Adult,18,2)</f>
        <v xml:space="preserve">Swindon, Great Weston Hospital </v>
      </c>
      <c r="C21" s="26" t="s">
        <v>20</v>
      </c>
      <c r="D21" s="57">
        <v>3</v>
      </c>
      <c r="E21" s="26" t="s">
        <v>21</v>
      </c>
      <c r="F21" s="65" t="str">
        <f>INDEX(Q3_Adult,18,7)</f>
        <v>No data</v>
      </c>
      <c r="G21" s="71" t="str">
        <f>INDEX(Q3_Adult,18,8)</f>
        <v>No data</v>
      </c>
      <c r="H21" s="204" t="str">
        <f>INDEX(Q3_Adult,18,9)</f>
        <v>No data</v>
      </c>
      <c r="I21" s="205">
        <f t="shared" si="0"/>
        <v>0</v>
      </c>
      <c r="J21" s="206" t="str">
        <f>INDEX(Q3_Adult,18,10)</f>
        <v>No data</v>
      </c>
      <c r="K21" s="205">
        <f t="shared" si="1"/>
        <v>0</v>
      </c>
      <c r="L21" s="206" t="str">
        <f>INDEX(Q3_Adult,18,11)</f>
        <v>No data</v>
      </c>
      <c r="M21" s="205">
        <f t="shared" si="2"/>
        <v>0</v>
      </c>
      <c r="N21" s="206" t="str">
        <f>INDEX(Q3_Adult,18,12)</f>
        <v>No data</v>
      </c>
      <c r="O21" s="205">
        <f t="shared" si="3"/>
        <v>0</v>
      </c>
      <c r="P21" s="207" t="str">
        <f>INDEX(Q3_Adult,18,13)</f>
        <v>No data</v>
      </c>
      <c r="Q21" s="208" t="str">
        <f>INDEX(Q3_Adult,18,15)</f>
        <v>No data</v>
      </c>
      <c r="R21" s="205">
        <f t="shared" si="4"/>
        <v>0</v>
      </c>
      <c r="S21" s="206" t="str">
        <f>INDEX(Q3_Adult,18,16)</f>
        <v>No data</v>
      </c>
      <c r="T21" s="205">
        <f t="shared" si="5"/>
        <v>0</v>
      </c>
      <c r="U21" s="209" t="str">
        <f>INDEX(Q3_Adult,18,17)</f>
        <v>No data</v>
      </c>
      <c r="V21" s="205">
        <f t="shared" si="6"/>
        <v>0</v>
      </c>
      <c r="W21" s="206" t="str">
        <f>INDEX(Q3_Adult,18,18)</f>
        <v>No data</v>
      </c>
      <c r="X21" s="205">
        <f t="shared" si="7"/>
        <v>0</v>
      </c>
      <c r="Y21" s="114" t="str">
        <f>INDEX(Q3_Adult,18,19)</f>
        <v>No data</v>
      </c>
      <c r="Z21" s="68" t="str">
        <f>INDEX(Q3_Adult,18,21)</f>
        <v>No data</v>
      </c>
      <c r="AA21" s="69" t="str">
        <f>INDEX(Q3_Adult,18,22)</f>
        <v>No data</v>
      </c>
    </row>
    <row r="22" spans="2:27" s="8" customFormat="1" ht="21.75" customHeight="1" thickTop="1" thickBot="1" x14ac:dyDescent="0.35">
      <c r="B22" s="25" t="str">
        <f>INDEX(Q3_Adult,19,2)</f>
        <v xml:space="preserve">Taunton, Musgrove Park Hospital </v>
      </c>
      <c r="C22" s="25" t="s">
        <v>20</v>
      </c>
      <c r="D22" s="56">
        <v>3</v>
      </c>
      <c r="E22" s="25" t="s">
        <v>21</v>
      </c>
      <c r="F22" s="64" t="str">
        <f>INDEX(Q3_Adult,19,7)</f>
        <v>No data</v>
      </c>
      <c r="G22" s="70" t="str">
        <f>INDEX(Q3_Adult,19,8)</f>
        <v>No data</v>
      </c>
      <c r="H22" s="210" t="str">
        <f>INDEX(Q3_Adult,19,9)</f>
        <v>No data</v>
      </c>
      <c r="I22" s="200">
        <f t="shared" si="0"/>
        <v>0</v>
      </c>
      <c r="J22" s="201" t="str">
        <f>INDEX(Q3_Adult,19,10)</f>
        <v>No data</v>
      </c>
      <c r="K22" s="200">
        <f t="shared" si="1"/>
        <v>0</v>
      </c>
      <c r="L22" s="201" t="str">
        <f>INDEX(Q3_Adult,19,11)</f>
        <v>No data</v>
      </c>
      <c r="M22" s="200">
        <f t="shared" si="2"/>
        <v>0</v>
      </c>
      <c r="N22" s="201" t="str">
        <f>INDEX(Q3_Adult,19,12)</f>
        <v>No data</v>
      </c>
      <c r="O22" s="200">
        <f t="shared" si="3"/>
        <v>0</v>
      </c>
      <c r="P22" s="202" t="str">
        <f>INDEX(Q3_Adult,19,13)</f>
        <v>No data</v>
      </c>
      <c r="Q22" s="199" t="str">
        <f>INDEX(Q3_Adult,19,15)</f>
        <v>No data</v>
      </c>
      <c r="R22" s="200">
        <f t="shared" si="4"/>
        <v>0</v>
      </c>
      <c r="S22" s="201" t="str">
        <f>INDEX(Q3_Adult,19,16)</f>
        <v>No data</v>
      </c>
      <c r="T22" s="200">
        <f t="shared" si="5"/>
        <v>0</v>
      </c>
      <c r="U22" s="203" t="str">
        <f>INDEX(Q3_Adult,19,17)</f>
        <v>No data</v>
      </c>
      <c r="V22" s="200">
        <f t="shared" si="6"/>
        <v>0</v>
      </c>
      <c r="W22" s="201" t="str">
        <f>INDEX(Q3_Adult,19,18)</f>
        <v>No data</v>
      </c>
      <c r="X22" s="200">
        <f t="shared" si="7"/>
        <v>0</v>
      </c>
      <c r="Y22" s="113" t="str">
        <f>INDEX(Q3_Adult,19,19)</f>
        <v>No data</v>
      </c>
      <c r="Z22" s="66" t="str">
        <f>INDEX(Q3_Adult,19,21)</f>
        <v>No data</v>
      </c>
      <c r="AA22" s="67" t="str">
        <f>INDEX(Q3_Adult,19,22)</f>
        <v>No data</v>
      </c>
    </row>
    <row r="23" spans="2:27" s="8" customFormat="1" ht="21.75" customHeight="1" thickTop="1" thickBot="1" x14ac:dyDescent="0.35">
      <c r="B23" s="26" t="str">
        <f>INDEX(Q3_Adult,20,2)</f>
        <v xml:space="preserve">Torquay, Torbay General District Hospital </v>
      </c>
      <c r="C23" s="26" t="s">
        <v>20</v>
      </c>
      <c r="D23" s="57">
        <v>3</v>
      </c>
      <c r="E23" s="26" t="s">
        <v>21</v>
      </c>
      <c r="F23" s="65" t="str">
        <f>INDEX(Q3_Adult,20,7)</f>
        <v>No data</v>
      </c>
      <c r="G23" s="71" t="str">
        <f>INDEX(Q3_Adult,20,8)</f>
        <v>No data</v>
      </c>
      <c r="H23" s="204" t="str">
        <f>INDEX(Q3_Adult,20,9)</f>
        <v>No data</v>
      </c>
      <c r="I23" s="205">
        <f t="shared" si="0"/>
        <v>0</v>
      </c>
      <c r="J23" s="206" t="str">
        <f>INDEX(Q3_Adult,20,10)</f>
        <v>No data</v>
      </c>
      <c r="K23" s="205">
        <f t="shared" si="1"/>
        <v>0</v>
      </c>
      <c r="L23" s="206" t="str">
        <f>INDEX(Q3_Adult,20,11)</f>
        <v>No data</v>
      </c>
      <c r="M23" s="205">
        <f t="shared" si="2"/>
        <v>0</v>
      </c>
      <c r="N23" s="206" t="str">
        <f>INDEX(Q3_Adult,20,12)</f>
        <v>No data</v>
      </c>
      <c r="O23" s="205">
        <f t="shared" si="3"/>
        <v>0</v>
      </c>
      <c r="P23" s="207" t="str">
        <f>INDEX(Q3_Adult,20,13)</f>
        <v>No data</v>
      </c>
      <c r="Q23" s="208" t="str">
        <f>INDEX(Q3_Adult,20,15)</f>
        <v>No data</v>
      </c>
      <c r="R23" s="205">
        <f t="shared" si="4"/>
        <v>0</v>
      </c>
      <c r="S23" s="206" t="str">
        <f>INDEX(Q3_Adult,20,16)</f>
        <v>No data</v>
      </c>
      <c r="T23" s="205">
        <f t="shared" si="5"/>
        <v>0</v>
      </c>
      <c r="U23" s="209" t="str">
        <f>INDEX(Q3_Adult,20,17)</f>
        <v>No data</v>
      </c>
      <c r="V23" s="205">
        <f t="shared" si="6"/>
        <v>0</v>
      </c>
      <c r="W23" s="206" t="str">
        <f>INDEX(Q3_Adult,20,18)</f>
        <v>No data</v>
      </c>
      <c r="X23" s="205">
        <f t="shared" si="7"/>
        <v>0</v>
      </c>
      <c r="Y23" s="114" t="str">
        <f>INDEX(Q3_Adult,20,19)</f>
        <v>No data</v>
      </c>
      <c r="Z23" s="68" t="str">
        <f>INDEX(Q3_Adult,20,21)</f>
        <v>No data</v>
      </c>
      <c r="AA23" s="69" t="str">
        <f>INDEX(Q3_Adult,20,22)</f>
        <v>No data</v>
      </c>
    </row>
    <row r="24" spans="2:27" s="8" customFormat="1" ht="21.75" customHeight="1" thickTop="1" thickBot="1" x14ac:dyDescent="0.35">
      <c r="B24" s="25" t="str">
        <f>INDEX(Q3_Adult,21,2)</f>
        <v xml:space="preserve">Truro, Royal Cornwall Hospital </v>
      </c>
      <c r="C24" s="25" t="s">
        <v>20</v>
      </c>
      <c r="D24" s="56">
        <v>3</v>
      </c>
      <c r="E24" s="25" t="s">
        <v>21</v>
      </c>
      <c r="F24" s="64" t="str">
        <f>INDEX(Q3_Adult,21,7)</f>
        <v>No data</v>
      </c>
      <c r="G24" s="70" t="str">
        <f>INDEX(Q3_Adult,21,8)</f>
        <v>No data</v>
      </c>
      <c r="H24" s="210" t="str">
        <f>INDEX(Q3_Adult,21,9)</f>
        <v>No data</v>
      </c>
      <c r="I24" s="200">
        <f t="shared" si="0"/>
        <v>0</v>
      </c>
      <c r="J24" s="201" t="str">
        <f>INDEX(Q3_Adult,21,10)</f>
        <v>No data</v>
      </c>
      <c r="K24" s="200">
        <f t="shared" si="1"/>
        <v>0</v>
      </c>
      <c r="L24" s="201" t="str">
        <f>INDEX(Q3_Adult,21,11)</f>
        <v>No data</v>
      </c>
      <c r="M24" s="200">
        <f t="shared" si="2"/>
        <v>0</v>
      </c>
      <c r="N24" s="201" t="str">
        <f>INDEX(Q3_Adult,21,12)</f>
        <v>No data</v>
      </c>
      <c r="O24" s="200">
        <f t="shared" si="3"/>
        <v>0</v>
      </c>
      <c r="P24" s="202" t="str">
        <f>INDEX(Q3_Adult,21,13)</f>
        <v>No data</v>
      </c>
      <c r="Q24" s="199" t="str">
        <f>INDEX(Q3_Adult,21,15)</f>
        <v>No data</v>
      </c>
      <c r="R24" s="200">
        <f t="shared" si="4"/>
        <v>0</v>
      </c>
      <c r="S24" s="201" t="str">
        <f>INDEX(Q3_Adult,21,16)</f>
        <v>No data</v>
      </c>
      <c r="T24" s="200">
        <f t="shared" si="5"/>
        <v>0</v>
      </c>
      <c r="U24" s="203" t="str">
        <f>INDEX(Q3_Adult,21,17)</f>
        <v>No data</v>
      </c>
      <c r="V24" s="200">
        <f t="shared" si="6"/>
        <v>0</v>
      </c>
      <c r="W24" s="201" t="str">
        <f>INDEX(Q3_Adult,21,18)</f>
        <v>No data</v>
      </c>
      <c r="X24" s="200">
        <f t="shared" si="7"/>
        <v>0</v>
      </c>
      <c r="Y24" s="113" t="str">
        <f>INDEX(Q3_Adult,21,19)</f>
        <v>No data</v>
      </c>
      <c r="Z24" s="66" t="str">
        <f>INDEX(Q3_Adult,21,21)</f>
        <v>No data</v>
      </c>
      <c r="AA24" s="67" t="str">
        <f>INDEX(Q3_Adult,21,22)</f>
        <v>No data</v>
      </c>
    </row>
    <row r="25" spans="2:27" ht="15" thickTop="1" x14ac:dyDescent="0.3">
      <c r="B25" s="16"/>
      <c r="C25" s="16"/>
      <c r="D25" s="16"/>
      <c r="E25" s="16"/>
      <c r="F25" s="15"/>
      <c r="G25" s="15"/>
      <c r="H25" s="119"/>
      <c r="I25" s="15"/>
      <c r="J25" s="119"/>
      <c r="K25" s="15"/>
      <c r="L25" s="119"/>
      <c r="M25" s="15"/>
      <c r="N25" s="119"/>
      <c r="O25" s="15"/>
      <c r="P25" s="15"/>
      <c r="Q25" s="119"/>
      <c r="R25" s="15"/>
      <c r="S25" s="119"/>
      <c r="T25" s="15"/>
      <c r="U25" s="119"/>
      <c r="V25" s="15"/>
      <c r="W25" s="119"/>
      <c r="X25" s="15"/>
      <c r="Y25" s="15"/>
      <c r="Z25" s="15"/>
      <c r="AA25" s="15"/>
    </row>
    <row r="26" spans="2:27" ht="15" thickBot="1" x14ac:dyDescent="0.35">
      <c r="B26" s="16"/>
      <c r="C26" s="16"/>
      <c r="D26" s="16"/>
      <c r="E26" s="16"/>
      <c r="F26" s="15"/>
      <c r="G26" s="15"/>
      <c r="H26" s="119"/>
      <c r="I26" s="15"/>
      <c r="J26" s="119"/>
      <c r="K26" s="15"/>
      <c r="L26" s="119"/>
      <c r="M26" s="15"/>
      <c r="N26" s="119"/>
      <c r="O26" s="15"/>
      <c r="P26" s="15"/>
      <c r="Q26" s="119"/>
      <c r="R26" s="15"/>
      <c r="S26" s="119"/>
      <c r="T26" s="15"/>
      <c r="U26" s="119"/>
      <c r="V26" s="15"/>
      <c r="W26" s="119"/>
      <c r="X26" s="15"/>
      <c r="Y26" s="15"/>
      <c r="Z26" s="15"/>
      <c r="AA26" s="15"/>
    </row>
    <row r="27" spans="2:27" ht="14.4" x14ac:dyDescent="0.3">
      <c r="B27" s="299" t="s">
        <v>86</v>
      </c>
      <c r="C27" s="300" t="s">
        <v>87</v>
      </c>
      <c r="D27" s="301"/>
      <c r="E27" s="302"/>
      <c r="F27" s="309" t="s">
        <v>78</v>
      </c>
      <c r="G27" s="310"/>
      <c r="H27" s="311"/>
      <c r="I27" s="312"/>
      <c r="J27" s="315" t="s">
        <v>84</v>
      </c>
      <c r="K27" s="316"/>
      <c r="L27" s="319" t="s">
        <v>84</v>
      </c>
      <c r="M27" s="320"/>
      <c r="N27" s="323" t="s">
        <v>84</v>
      </c>
      <c r="O27" s="324"/>
      <c r="P27" s="229"/>
      <c r="Q27" s="311"/>
      <c r="R27" s="312"/>
      <c r="S27" s="315" t="s">
        <v>84</v>
      </c>
      <c r="T27" s="316"/>
      <c r="U27" s="319" t="s">
        <v>84</v>
      </c>
      <c r="V27" s="320"/>
      <c r="W27" s="323" t="s">
        <v>84</v>
      </c>
      <c r="X27" s="324"/>
      <c r="Y27" s="128"/>
      <c r="Z27" s="335" t="s">
        <v>81</v>
      </c>
      <c r="AA27" s="310"/>
    </row>
    <row r="28" spans="2:27" ht="14.4" x14ac:dyDescent="0.3">
      <c r="B28" s="299"/>
      <c r="C28" s="303"/>
      <c r="D28" s="304"/>
      <c r="E28" s="305"/>
      <c r="F28" s="336" t="s">
        <v>79</v>
      </c>
      <c r="G28" s="337"/>
      <c r="H28" s="313"/>
      <c r="I28" s="314"/>
      <c r="J28" s="317"/>
      <c r="K28" s="318"/>
      <c r="L28" s="321"/>
      <c r="M28" s="322"/>
      <c r="N28" s="325"/>
      <c r="O28" s="326"/>
      <c r="P28" s="230"/>
      <c r="Q28" s="313"/>
      <c r="R28" s="314"/>
      <c r="S28" s="317"/>
      <c r="T28" s="318"/>
      <c r="U28" s="321"/>
      <c r="V28" s="322"/>
      <c r="W28" s="325"/>
      <c r="X28" s="326"/>
      <c r="Y28" s="129"/>
      <c r="Z28" s="338" t="s">
        <v>82</v>
      </c>
      <c r="AA28" s="337"/>
    </row>
    <row r="29" spans="2:27" ht="15" thickBot="1" x14ac:dyDescent="0.35">
      <c r="B29" s="299"/>
      <c r="C29" s="306"/>
      <c r="D29" s="307"/>
      <c r="E29" s="308"/>
      <c r="F29" s="331" t="s">
        <v>80</v>
      </c>
      <c r="G29" s="332"/>
      <c r="H29" s="333"/>
      <c r="I29" s="334"/>
      <c r="J29" s="339" t="s">
        <v>85</v>
      </c>
      <c r="K29" s="334"/>
      <c r="L29" s="339" t="s">
        <v>85</v>
      </c>
      <c r="M29" s="334"/>
      <c r="N29" s="339" t="s">
        <v>85</v>
      </c>
      <c r="O29" s="334"/>
      <c r="P29" s="227"/>
      <c r="Q29" s="333"/>
      <c r="R29" s="334"/>
      <c r="S29" s="339" t="s">
        <v>85</v>
      </c>
      <c r="T29" s="334"/>
      <c r="U29" s="339" t="s">
        <v>85</v>
      </c>
      <c r="V29" s="334"/>
      <c r="W29" s="339" t="s">
        <v>85</v>
      </c>
      <c r="X29" s="334"/>
      <c r="Y29" s="115"/>
      <c r="Z29" s="340" t="s">
        <v>83</v>
      </c>
      <c r="AA29" s="332"/>
    </row>
    <row r="30" spans="2:27" ht="14.4" x14ac:dyDescent="0.3">
      <c r="B30" s="17"/>
      <c r="C30" s="17"/>
      <c r="D30" s="17"/>
      <c r="E30" s="17"/>
      <c r="F30" s="18"/>
      <c r="G30" s="18"/>
      <c r="H30" s="120"/>
      <c r="I30" s="18"/>
      <c r="J30" s="120"/>
      <c r="K30" s="18"/>
      <c r="L30" s="120"/>
      <c r="M30" s="18"/>
      <c r="N30" s="120"/>
      <c r="O30" s="18"/>
      <c r="P30" s="18"/>
      <c r="Q30" s="120"/>
      <c r="R30" s="18"/>
      <c r="S30" s="120"/>
      <c r="T30" s="18"/>
      <c r="U30" s="120"/>
      <c r="V30" s="18"/>
      <c r="W30" s="120"/>
      <c r="X30" s="18"/>
      <c r="Y30" s="18"/>
      <c r="Z30" s="18"/>
      <c r="AA30" s="19"/>
    </row>
    <row r="31" spans="2:27" ht="14.4" x14ac:dyDescent="0.3">
      <c r="B31" s="15"/>
      <c r="C31" s="15"/>
      <c r="D31" s="15"/>
      <c r="E31" s="15"/>
      <c r="F31" s="20">
        <v>10</v>
      </c>
      <c r="G31" s="20">
        <v>10</v>
      </c>
      <c r="H31" s="121">
        <v>10</v>
      </c>
      <c r="I31" s="20"/>
      <c r="J31" s="121">
        <v>10</v>
      </c>
      <c r="K31" s="20">
        <v>10</v>
      </c>
      <c r="L31" s="121">
        <v>10</v>
      </c>
      <c r="M31" s="20"/>
      <c r="N31" s="121"/>
      <c r="O31" s="20"/>
      <c r="P31" s="20"/>
      <c r="Q31" s="121"/>
      <c r="R31" s="20"/>
      <c r="S31" s="121"/>
      <c r="T31" s="20"/>
      <c r="U31" s="121"/>
      <c r="V31" s="20"/>
      <c r="W31" s="121"/>
      <c r="X31" s="20"/>
      <c r="Y31" s="20"/>
      <c r="Z31" s="20"/>
      <c r="AA31" s="15"/>
    </row>
    <row r="32" spans="2:27" ht="14.4" x14ac:dyDescent="0.3">
      <c r="B32" s="16" t="s">
        <v>15</v>
      </c>
      <c r="C32" s="16"/>
      <c r="D32" s="16"/>
      <c r="E32" s="16"/>
      <c r="F32" s="21"/>
      <c r="G32" s="15"/>
      <c r="H32" s="119"/>
      <c r="I32" s="15"/>
      <c r="J32" s="119"/>
      <c r="K32" s="15"/>
      <c r="L32" s="119"/>
      <c r="M32" s="15"/>
      <c r="N32" s="119"/>
      <c r="O32" s="15"/>
      <c r="P32" s="15"/>
      <c r="Q32" s="119"/>
      <c r="R32" s="15"/>
      <c r="S32" s="119"/>
      <c r="T32" s="15"/>
      <c r="U32" s="119"/>
      <c r="V32" s="15"/>
      <c r="W32" s="119"/>
      <c r="X32" s="15"/>
      <c r="Y32" s="15"/>
      <c r="Z32" s="15"/>
      <c r="AA32" s="15"/>
    </row>
    <row r="33" spans="2:27" ht="14.4" x14ac:dyDescent="0.3">
      <c r="B33" s="22" t="s">
        <v>16</v>
      </c>
      <c r="C33" s="22"/>
      <c r="D33" s="22"/>
      <c r="E33" s="22"/>
      <c r="F33" s="15"/>
      <c r="G33" s="15"/>
      <c r="H33" s="119"/>
      <c r="I33" s="15"/>
      <c r="J33" s="119"/>
      <c r="K33" s="15"/>
      <c r="L33" s="119"/>
      <c r="M33" s="15"/>
      <c r="N33" s="119"/>
      <c r="O33" s="15"/>
      <c r="P33" s="15"/>
      <c r="Q33" s="119"/>
      <c r="R33" s="15"/>
      <c r="S33" s="119"/>
      <c r="T33" s="15"/>
      <c r="U33" s="119"/>
      <c r="V33" s="15"/>
      <c r="W33" s="119"/>
      <c r="X33" s="15"/>
      <c r="Y33" s="15"/>
      <c r="Z33" s="15"/>
      <c r="AA33" s="15"/>
    </row>
    <row r="34" spans="2:27" ht="14.4" x14ac:dyDescent="0.3">
      <c r="B34" s="23"/>
      <c r="C34" s="23"/>
      <c r="D34" s="23"/>
      <c r="E34" s="23"/>
      <c r="F34" s="15"/>
      <c r="G34" s="15"/>
      <c r="H34" s="119"/>
      <c r="I34" s="15"/>
      <c r="J34" s="119"/>
      <c r="K34" s="15"/>
      <c r="L34" s="119"/>
      <c r="M34" s="15"/>
      <c r="N34" s="119"/>
      <c r="O34" s="15"/>
      <c r="P34" s="15"/>
      <c r="Q34" s="119"/>
      <c r="R34" s="15"/>
      <c r="S34" s="119"/>
      <c r="T34" s="15"/>
      <c r="U34" s="119"/>
      <c r="V34" s="15"/>
      <c r="W34" s="119"/>
      <c r="X34" s="15"/>
      <c r="Y34" s="15"/>
      <c r="Z34" s="15"/>
      <c r="AA34" s="15"/>
    </row>
    <row r="35" spans="2:27" ht="14.4" x14ac:dyDescent="0.3"/>
    <row r="36" spans="2:27" ht="14.4" x14ac:dyDescent="0.3"/>
    <row r="37" spans="2:27" ht="14.4" hidden="1" x14ac:dyDescent="0.3"/>
    <row r="38" spans="2:27" ht="14.4" hidden="1" x14ac:dyDescent="0.3"/>
    <row r="39" spans="2:27" ht="14.4" hidden="1" x14ac:dyDescent="0.3"/>
    <row r="40" spans="2:27" ht="14.4" hidden="1" x14ac:dyDescent="0.3"/>
    <row r="41" spans="2:27" ht="14.4" hidden="1" x14ac:dyDescent="0.3"/>
    <row r="42" spans="2:27" ht="14.4" hidden="1" x14ac:dyDescent="0.3"/>
    <row r="43" spans="2:27" ht="14.4" hidden="1" x14ac:dyDescent="0.3"/>
    <row r="44" spans="2:27" ht="14.4" hidden="1" x14ac:dyDescent="0.3"/>
    <row r="45" spans="2:27" ht="14.4" hidden="1" x14ac:dyDescent="0.3"/>
    <row r="46" spans="2:27" ht="14.4" hidden="1" x14ac:dyDescent="0.3"/>
    <row r="47" spans="2:27" ht="14.4" hidden="1" x14ac:dyDescent="0.3"/>
    <row r="48" spans="2:27" ht="14.4" hidden="1" x14ac:dyDescent="0.3"/>
    <row r="49" ht="14.4" hidden="1" x14ac:dyDescent="0.3"/>
    <row r="50" ht="14.4" hidden="1" x14ac:dyDescent="0.3"/>
    <row r="51" ht="14.4" hidden="1" x14ac:dyDescent="0.3"/>
    <row r="52" ht="14.4" hidden="1" x14ac:dyDescent="0.3"/>
    <row r="53" ht="14.4" hidden="1" x14ac:dyDescent="0.3"/>
    <row r="54" ht="14.4" hidden="1" x14ac:dyDescent="0.3"/>
    <row r="55" ht="14.4" hidden="1" x14ac:dyDescent="0.3"/>
    <row r="56" ht="14.4" hidden="1" x14ac:dyDescent="0.3"/>
    <row r="57" ht="14.4" hidden="1" x14ac:dyDescent="0.3"/>
    <row r="58" ht="14.4" hidden="1" x14ac:dyDescent="0.3"/>
    <row r="59" ht="14.4" hidden="1" x14ac:dyDescent="0.3"/>
    <row r="60" ht="14.4" hidden="1" x14ac:dyDescent="0.3"/>
    <row r="61" ht="14.4" hidden="1" x14ac:dyDescent="0.3"/>
    <row r="62" ht="14.4" customHeight="1" x14ac:dyDescent="0.3"/>
  </sheetData>
  <mergeCells count="45">
    <mergeCell ref="Z27:AA27"/>
    <mergeCell ref="F28:G28"/>
    <mergeCell ref="Z28:AA28"/>
    <mergeCell ref="Q29:R29"/>
    <mergeCell ref="S29:T29"/>
    <mergeCell ref="U29:V29"/>
    <mergeCell ref="W29:X29"/>
    <mergeCell ref="Z29:AA29"/>
    <mergeCell ref="J29:K29"/>
    <mergeCell ref="L29:M29"/>
    <mergeCell ref="N29:O29"/>
    <mergeCell ref="U27:V28"/>
    <mergeCell ref="W27:X28"/>
    <mergeCell ref="W7:X7"/>
    <mergeCell ref="B27:B29"/>
    <mergeCell ref="C27:E29"/>
    <mergeCell ref="F27:G27"/>
    <mergeCell ref="H27:I28"/>
    <mergeCell ref="J27:K28"/>
    <mergeCell ref="L27:M28"/>
    <mergeCell ref="N27:O28"/>
    <mergeCell ref="Q27:R28"/>
    <mergeCell ref="S27:T28"/>
    <mergeCell ref="B5:B7"/>
    <mergeCell ref="C5:C7"/>
    <mergeCell ref="D5:D7"/>
    <mergeCell ref="E5:E7"/>
    <mergeCell ref="F29:G29"/>
    <mergeCell ref="H29:I29"/>
    <mergeCell ref="Z5:AA5"/>
    <mergeCell ref="F6:F7"/>
    <mergeCell ref="G6:G7"/>
    <mergeCell ref="H6:P6"/>
    <mergeCell ref="Q6:Y6"/>
    <mergeCell ref="Z6:Z7"/>
    <mergeCell ref="AA6:AA7"/>
    <mergeCell ref="H7:I7"/>
    <mergeCell ref="J7:K7"/>
    <mergeCell ref="L7:M7"/>
    <mergeCell ref="F5:G5"/>
    <mergeCell ref="H5:Y5"/>
    <mergeCell ref="N7:O7"/>
    <mergeCell ref="Q7:R7"/>
    <mergeCell ref="S7:T7"/>
    <mergeCell ref="U7:V7"/>
  </mergeCells>
  <conditionalFormatting sqref="F8:G9">
    <cfRule type="containsText" dxfId="101" priority="28" operator="containsText" text="N/A">
      <formula>NOT(ISERROR(SEARCH("N/A",F8)))</formula>
    </cfRule>
    <cfRule type="cellIs" dxfId="100" priority="35" operator="between">
      <formula>0.01</formula>
      <formula>13</formula>
    </cfRule>
    <cfRule type="cellIs" dxfId="99" priority="36" operator="between">
      <formula>13</formula>
      <formula>18</formula>
    </cfRule>
    <cfRule type="cellIs" dxfId="98" priority="37" operator="greaterThan">
      <formula>18</formula>
    </cfRule>
    <cfRule type="cellIs" dxfId="97" priority="38" operator="greaterThan">
      <formula>18</formula>
    </cfRule>
  </conditionalFormatting>
  <conditionalFormatting sqref="T8:T9 K8:K9">
    <cfRule type="cellIs" dxfId="96" priority="34" operator="greaterThan">
      <formula>0.5</formula>
    </cfRule>
  </conditionalFormatting>
  <conditionalFormatting sqref="M8:M9 V8:V9">
    <cfRule type="cellIs" dxfId="95" priority="33" operator="greaterThan">
      <formula>0.49</formula>
    </cfRule>
  </conditionalFormatting>
  <conditionalFormatting sqref="X8:X9 O8:O9">
    <cfRule type="cellIs" dxfId="94" priority="32" operator="greaterThan">
      <formula>0.5</formula>
    </cfRule>
  </conditionalFormatting>
  <conditionalFormatting sqref="Z8:AA9">
    <cfRule type="cellIs" dxfId="93" priority="29" operator="between">
      <formula>0.0001</formula>
      <formula>0.1</formula>
    </cfRule>
    <cfRule type="cellIs" dxfId="92" priority="30" operator="between">
      <formula>0.1</formula>
      <formula>0.19</formula>
    </cfRule>
    <cfRule type="cellIs" dxfId="91" priority="31" operator="greaterThan">
      <formula>0.2</formula>
    </cfRule>
  </conditionalFormatting>
  <conditionalFormatting sqref="J8:J24">
    <cfRule type="expression" dxfId="90" priority="27">
      <formula>($J8/$P8*100)&gt;49.49</formula>
    </cfRule>
  </conditionalFormatting>
  <conditionalFormatting sqref="L8:L24">
    <cfRule type="expression" dxfId="89" priority="26">
      <formula>($L8/$P8*100)&gt;49.49</formula>
    </cfRule>
  </conditionalFormatting>
  <conditionalFormatting sqref="N8:N24">
    <cfRule type="expression" dxfId="88" priority="25">
      <formula>($N8/$P8*100)&gt;49.49</formula>
    </cfRule>
  </conditionalFormatting>
  <conditionalFormatting sqref="S8:S24">
    <cfRule type="expression" dxfId="87" priority="24">
      <formula>($S8/$Y8*100)&gt;49.49</formula>
    </cfRule>
  </conditionalFormatting>
  <conditionalFormatting sqref="U8:U24">
    <cfRule type="expression" dxfId="86" priority="23">
      <formula>($U8/$Y8*100)&gt;49.49</formula>
    </cfRule>
  </conditionalFormatting>
  <conditionalFormatting sqref="W8:W24">
    <cfRule type="expression" dxfId="85" priority="22">
      <formula>($W8/$Y8*100)&gt;49.49</formula>
    </cfRule>
  </conditionalFormatting>
  <conditionalFormatting sqref="L9">
    <cfRule type="expression" dxfId="84" priority="21">
      <formula>"$M$9=&gt;.499"</formula>
    </cfRule>
  </conditionalFormatting>
  <conditionalFormatting sqref="F8:AA24">
    <cfRule type="expression" dxfId="83" priority="20">
      <formula>$F8="No data"</formula>
    </cfRule>
  </conditionalFormatting>
  <conditionalFormatting sqref="F10:G24">
    <cfRule type="containsText" dxfId="82" priority="9" operator="containsText" text="N/A">
      <formula>NOT(ISERROR(SEARCH("N/A",F10)))</formula>
    </cfRule>
    <cfRule type="cellIs" dxfId="81" priority="16" operator="between">
      <formula>0.01</formula>
      <formula>13</formula>
    </cfRule>
    <cfRule type="cellIs" dxfId="80" priority="17" operator="between">
      <formula>13</formula>
      <formula>18</formula>
    </cfRule>
    <cfRule type="cellIs" dxfId="79" priority="18" operator="greaterThan">
      <formula>18</formula>
    </cfRule>
    <cfRule type="cellIs" dxfId="78" priority="19" operator="greaterThan">
      <formula>18</formula>
    </cfRule>
  </conditionalFormatting>
  <conditionalFormatting sqref="T10:T24 K10:K24">
    <cfRule type="cellIs" dxfId="77" priority="15" operator="greaterThan">
      <formula>0.5</formula>
    </cfRule>
  </conditionalFormatting>
  <conditionalFormatting sqref="M10:M24 V10:V24">
    <cfRule type="cellIs" dxfId="76" priority="14" operator="greaterThan">
      <formula>0.49</formula>
    </cfRule>
  </conditionalFormatting>
  <conditionalFormatting sqref="X10:X24 O10:O24">
    <cfRule type="cellIs" dxfId="75" priority="13" operator="greaterThan">
      <formula>0.5</formula>
    </cfRule>
  </conditionalFormatting>
  <conditionalFormatting sqref="Z10:AA24">
    <cfRule type="cellIs" dxfId="74" priority="10" operator="between">
      <formula>0.0001</formula>
      <formula>0.1</formula>
    </cfRule>
    <cfRule type="cellIs" dxfId="73" priority="11" operator="between">
      <formula>0.1</formula>
      <formula>0.19</formula>
    </cfRule>
    <cfRule type="cellIs" dxfId="72" priority="12" operator="greaterThan">
      <formula>0.2</formula>
    </cfRule>
  </conditionalFormatting>
  <conditionalFormatting sqref="L11 L13 L15 L17 L19 L21 L23">
    <cfRule type="expression" dxfId="71" priority="2">
      <formula>"$M$9=&gt;.499"</formula>
    </cfRule>
  </conditionalFormatting>
  <hyperlinks>
    <hyperlink ref="C27:E29" location="Sheet1!A1" display="For more information on rag ratings please click here" xr:uid="{00000000-0004-0000-0800-000000000000}"/>
    <hyperlink ref="B3" location="'Front Page'!A1" display="Return to Contents" xr:uid="{00000000-0004-0000-0800-000001000000}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12</vt:i4>
      </vt:variant>
    </vt:vector>
  </HeadingPairs>
  <TitlesOfParts>
    <vt:vector size="35" baseType="lpstr">
      <vt:lpstr>Front Page</vt:lpstr>
      <vt:lpstr>RAG Ratings</vt:lpstr>
      <vt:lpstr>Q1 ADULTS</vt:lpstr>
      <vt:lpstr>Q1 PAEDS</vt:lpstr>
      <vt:lpstr>Q1 Graphs</vt:lpstr>
      <vt:lpstr>Q2 ADULTS</vt:lpstr>
      <vt:lpstr>Q2 PAEDS</vt:lpstr>
      <vt:lpstr>Q2 Graphs</vt:lpstr>
      <vt:lpstr>Q3 ADULTS</vt:lpstr>
      <vt:lpstr>Q3 PAEDS</vt:lpstr>
      <vt:lpstr>Q3 Graphs</vt:lpstr>
      <vt:lpstr>Q4 ADULTS</vt:lpstr>
      <vt:lpstr>Q4 PAEDS</vt:lpstr>
      <vt:lpstr>Q4 Graphs</vt:lpstr>
      <vt:lpstr>Y2D Adult OP</vt:lpstr>
      <vt:lpstr>Y2D Paeds OP</vt:lpstr>
      <vt:lpstr>Data</vt:lpstr>
      <vt:lpstr>Graph data Q1</vt:lpstr>
      <vt:lpstr>Graph data Q2</vt:lpstr>
      <vt:lpstr>Graph data Q3</vt:lpstr>
      <vt:lpstr>Graph data Q4</vt:lpstr>
      <vt:lpstr>Graph data Y2D</vt:lpstr>
      <vt:lpstr>Control</vt:lpstr>
      <vt:lpstr>AdultChoice</vt:lpstr>
      <vt:lpstr>AdultSites</vt:lpstr>
      <vt:lpstr>PaedChoice</vt:lpstr>
      <vt:lpstr>PaedSites</vt:lpstr>
      <vt:lpstr>Q1_Adult</vt:lpstr>
      <vt:lpstr>Q1_Paeds</vt:lpstr>
      <vt:lpstr>Q2_Adult</vt:lpstr>
      <vt:lpstr>Q2_Paeds</vt:lpstr>
      <vt:lpstr>Q3_Adult</vt:lpstr>
      <vt:lpstr>Q3_Paeds</vt:lpstr>
      <vt:lpstr>Q4_Adult</vt:lpstr>
      <vt:lpstr>Q4_Paeds</vt:lpstr>
    </vt:vector>
  </TitlesOfParts>
  <Company>University Hospitals Bristol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French, Georgina</dc:creator>
  <cp:lastModifiedBy>Burrows, Rachel</cp:lastModifiedBy>
  <dcterms:created xsi:type="dcterms:W3CDTF">2020-01-30T12:11:21Z</dcterms:created>
  <dcterms:modified xsi:type="dcterms:W3CDTF">2022-10-24T11:02:26Z</dcterms:modified>
</cp:coreProperties>
</file>